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0" yWindow="450" windowWidth="23895" windowHeight="9975"/>
  </bookViews>
  <sheets>
    <sheet name="DASHBOARD" sheetId="2" r:id="rId1"/>
    <sheet name="Human Resources" sheetId="1" r:id="rId2"/>
  </sheets>
  <definedNames>
    <definedName name="_xlnm._FilterDatabase" localSheetId="1" hidden="1">'Human Resources'!$B$3:$U$105</definedName>
    <definedName name="First">OFFSET(DASHBOARD!$O$9,0,0,MAX(DASHBOARD!$O$9:$O$20),1)</definedName>
    <definedName name="Fourth">OFFSET(DASHBOARD!$R$9,0,0,MAX(DASHBOARD!$O$9:$O$20),1)</definedName>
    <definedName name="PSWFormList_0" hidden="1">'Human Resources'!$C$4:$C$99</definedName>
    <definedName name="PSWSeries_4_0_Values" hidden="1">'Human Resources'!$E$4:$E$99</definedName>
    <definedName name="Second">OFFSET(DASHBOARD!$P$9,0,0,MAX(DASHBOARD!$O$9:$O$20),1)</definedName>
    <definedName name="Third">OFFSET(DASHBOARD!$Q$9,0,0,MAX(DASHBOARD!$O$9:$O$20),1)</definedName>
  </definedNames>
  <calcPr calcId="125725" concurrentCalc="0"/>
  <fileRecoveryPr autoRecover="0"/>
</workbook>
</file>

<file path=xl/calcChain.xml><?xml version="1.0" encoding="utf-8"?>
<calcChain xmlns="http://schemas.openxmlformats.org/spreadsheetml/2006/main">
  <c r="M35" i="2"/>
  <c r="L35"/>
  <c r="D35"/>
  <c r="K35"/>
  <c r="J35" a="1"/>
  <c r="J35"/>
  <c r="I35" a="1"/>
  <c r="I35"/>
  <c r="G35"/>
  <c r="H35"/>
  <c r="F35"/>
  <c r="E35"/>
  <c r="M34"/>
  <c r="L34"/>
  <c r="D34"/>
  <c r="K34"/>
  <c r="J34" a="1"/>
  <c r="J34"/>
  <c r="I34" a="1"/>
  <c r="I34"/>
  <c r="G34"/>
  <c r="H34"/>
  <c r="F34"/>
  <c r="E34"/>
  <c r="M33"/>
  <c r="L33"/>
  <c r="D33"/>
  <c r="K33"/>
  <c r="J33" a="1"/>
  <c r="J33"/>
  <c r="I33" a="1"/>
  <c r="I33"/>
  <c r="G33"/>
  <c r="H33"/>
  <c r="F33"/>
  <c r="E33"/>
  <c r="M32"/>
  <c r="L32"/>
  <c r="D32"/>
  <c r="K32"/>
  <c r="J32" a="1"/>
  <c r="J32"/>
  <c r="I32" a="1"/>
  <c r="I32"/>
  <c r="G32"/>
  <c r="H32"/>
  <c r="F32"/>
  <c r="E32"/>
  <c r="M31"/>
  <c r="L31"/>
  <c r="D31"/>
  <c r="K31"/>
  <c r="J31" a="1"/>
  <c r="J31"/>
  <c r="I31" a="1"/>
  <c r="I31"/>
  <c r="G31"/>
  <c r="H31"/>
  <c r="F31"/>
  <c r="E31"/>
  <c r="M30"/>
  <c r="L30"/>
  <c r="D30"/>
  <c r="K30"/>
  <c r="J30" a="1"/>
  <c r="J30"/>
  <c r="I30" a="1"/>
  <c r="I30"/>
  <c r="G30"/>
  <c r="H30"/>
  <c r="F30"/>
  <c r="E30"/>
  <c r="M29"/>
  <c r="L29"/>
  <c r="D29"/>
  <c r="K29"/>
  <c r="J29" a="1"/>
  <c r="J29"/>
  <c r="I29" a="1"/>
  <c r="I29"/>
  <c r="G29"/>
  <c r="H29"/>
  <c r="F29"/>
  <c r="E29"/>
  <c r="M28"/>
  <c r="L28"/>
  <c r="D28"/>
  <c r="K28"/>
  <c r="J28" a="1"/>
  <c r="J28"/>
  <c r="I28" a="1"/>
  <c r="I28"/>
  <c r="G28"/>
  <c r="H28"/>
  <c r="F28"/>
  <c r="E28"/>
  <c r="E27"/>
  <c r="P7"/>
  <c r="M27"/>
  <c r="M26"/>
  <c r="L27"/>
  <c r="L26"/>
  <c r="J27" a="1"/>
  <c r="J27"/>
  <c r="J26"/>
  <c r="I27" a="1"/>
  <c r="I27"/>
  <c r="I26"/>
  <c r="G27"/>
  <c r="G26"/>
  <c r="E26"/>
  <c r="F27"/>
  <c r="F26"/>
  <c r="D27"/>
  <c r="D26"/>
  <c r="Y116"/>
  <c r="X116" a="1"/>
  <c r="X116"/>
  <c r="V109"/>
  <c r="V110"/>
  <c r="V111"/>
  <c r="V112"/>
  <c r="V113"/>
  <c r="V114"/>
  <c r="V115"/>
  <c r="V116"/>
  <c r="Y115"/>
  <c r="X115" a="1"/>
  <c r="X115"/>
  <c r="Y114"/>
  <c r="X114" a="1"/>
  <c r="X114"/>
  <c r="Y113"/>
  <c r="X113" a="1"/>
  <c r="X113"/>
  <c r="Y112"/>
  <c r="X112" a="1"/>
  <c r="X112"/>
  <c r="Y111"/>
  <c r="X111" a="1"/>
  <c r="X111"/>
  <c r="Y110"/>
  <c r="X110" a="1"/>
  <c r="X110"/>
  <c r="Y109"/>
  <c r="X109" a="1"/>
  <c r="X109"/>
  <c r="Y108"/>
  <c r="X108" a="1"/>
  <c r="X108"/>
  <c r="U24"/>
  <c r="U40"/>
  <c r="U56"/>
  <c r="U71"/>
  <c r="U87"/>
  <c r="U106"/>
  <c r="V90"/>
  <c r="V91"/>
  <c r="V92"/>
  <c r="V93"/>
  <c r="T4" i="1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W93" i="2"/>
  <c r="Y93"/>
  <c r="X93"/>
  <c r="W92"/>
  <c r="Y92"/>
  <c r="X92"/>
  <c r="W91"/>
  <c r="Y91"/>
  <c r="X91"/>
  <c r="W90"/>
  <c r="Y90"/>
  <c r="X90"/>
  <c r="W89"/>
  <c r="Y89"/>
  <c r="X89"/>
  <c r="V74"/>
  <c r="V75"/>
  <c r="P4" i="1"/>
  <c r="S4"/>
  <c r="P5"/>
  <c r="S5"/>
  <c r="P6"/>
  <c r="S6"/>
  <c r="P7"/>
  <c r="S7"/>
  <c r="P8"/>
  <c r="S8"/>
  <c r="P9"/>
  <c r="S9"/>
  <c r="P10"/>
  <c r="S10"/>
  <c r="P11"/>
  <c r="S11"/>
  <c r="P12"/>
  <c r="S12"/>
  <c r="P13"/>
  <c r="S13"/>
  <c r="P14"/>
  <c r="S14"/>
  <c r="P15"/>
  <c r="S15"/>
  <c r="P16"/>
  <c r="S16"/>
  <c r="P17"/>
  <c r="S17"/>
  <c r="P18"/>
  <c r="S18"/>
  <c r="P19"/>
  <c r="S19"/>
  <c r="P20"/>
  <c r="S20"/>
  <c r="P21"/>
  <c r="S21"/>
  <c r="P22"/>
  <c r="S22"/>
  <c r="P23"/>
  <c r="S23"/>
  <c r="P24"/>
  <c r="S24"/>
  <c r="P25"/>
  <c r="S25"/>
  <c r="P26"/>
  <c r="S26"/>
  <c r="P27"/>
  <c r="S27"/>
  <c r="P28"/>
  <c r="S28"/>
  <c r="P29"/>
  <c r="S29"/>
  <c r="P30"/>
  <c r="S30"/>
  <c r="P31"/>
  <c r="S31"/>
  <c r="P32"/>
  <c r="S32"/>
  <c r="P33"/>
  <c r="S33"/>
  <c r="P34"/>
  <c r="S34"/>
  <c r="P35"/>
  <c r="S35"/>
  <c r="P36"/>
  <c r="S36"/>
  <c r="P37"/>
  <c r="S37"/>
  <c r="P38"/>
  <c r="S38"/>
  <c r="P39"/>
  <c r="S39"/>
  <c r="P40"/>
  <c r="S40"/>
  <c r="P41"/>
  <c r="S41"/>
  <c r="P42"/>
  <c r="S42"/>
  <c r="P43"/>
  <c r="S43"/>
  <c r="P44"/>
  <c r="S44"/>
  <c r="P45"/>
  <c r="S45"/>
  <c r="P46"/>
  <c r="S46"/>
  <c r="P47"/>
  <c r="S47"/>
  <c r="P48"/>
  <c r="S48"/>
  <c r="P49"/>
  <c r="S49"/>
  <c r="P50"/>
  <c r="S50"/>
  <c r="P51"/>
  <c r="S51"/>
  <c r="P52"/>
  <c r="S52"/>
  <c r="P53"/>
  <c r="S53"/>
  <c r="P54"/>
  <c r="S54"/>
  <c r="P55"/>
  <c r="S55"/>
  <c r="P56"/>
  <c r="S56"/>
  <c r="P57"/>
  <c r="S57"/>
  <c r="P58"/>
  <c r="S58"/>
  <c r="P59"/>
  <c r="S59"/>
  <c r="P60"/>
  <c r="S60"/>
  <c r="P61"/>
  <c r="S61"/>
  <c r="P62"/>
  <c r="S62"/>
  <c r="P63"/>
  <c r="S63"/>
  <c r="P64"/>
  <c r="S64"/>
  <c r="P65"/>
  <c r="S65"/>
  <c r="P66"/>
  <c r="S66"/>
  <c r="P67"/>
  <c r="S67"/>
  <c r="P68"/>
  <c r="S68"/>
  <c r="P69"/>
  <c r="S69"/>
  <c r="P70"/>
  <c r="S70"/>
  <c r="P71"/>
  <c r="S71"/>
  <c r="P72"/>
  <c r="S72"/>
  <c r="P73"/>
  <c r="S73"/>
  <c r="P74"/>
  <c r="S74"/>
  <c r="P75"/>
  <c r="S75"/>
  <c r="W75" i="2"/>
  <c r="Y75"/>
  <c r="X75"/>
  <c r="W74"/>
  <c r="Y74"/>
  <c r="X74"/>
  <c r="W73"/>
  <c r="Y73"/>
  <c r="X73"/>
  <c r="V59"/>
  <c r="V60"/>
  <c r="Q4" i="1"/>
  <c r="R4"/>
  <c r="Q5"/>
  <c r="R5"/>
  <c r="Q6"/>
  <c r="R6"/>
  <c r="Q7"/>
  <c r="R7"/>
  <c r="Q8"/>
  <c r="R8"/>
  <c r="Q9"/>
  <c r="R9"/>
  <c r="Q10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Q49"/>
  <c r="R49"/>
  <c r="Q50"/>
  <c r="R50"/>
  <c r="Q51"/>
  <c r="R51"/>
  <c r="Q52"/>
  <c r="R52"/>
  <c r="Q53"/>
  <c r="R53"/>
  <c r="Q54"/>
  <c r="R54"/>
  <c r="Q55"/>
  <c r="R55"/>
  <c r="Q56"/>
  <c r="R56"/>
  <c r="Q57"/>
  <c r="R57"/>
  <c r="W60" i="2"/>
  <c r="Y60"/>
  <c r="X60"/>
  <c r="W59"/>
  <c r="Y59"/>
  <c r="X59"/>
  <c r="W58"/>
  <c r="Y58"/>
  <c r="X58"/>
  <c r="V43"/>
  <c r="V44"/>
  <c r="V45"/>
  <c r="V46"/>
  <c r="V47"/>
  <c r="V48"/>
  <c r="V49"/>
  <c r="V50"/>
  <c r="V51"/>
  <c r="V52"/>
  <c r="V53"/>
  <c r="W53" a="1"/>
  <c r="W53"/>
  <c r="Y53"/>
  <c r="X53"/>
  <c r="W52" a="1"/>
  <c r="W52"/>
  <c r="Y52"/>
  <c r="X52"/>
  <c r="W51" a="1"/>
  <c r="W51"/>
  <c r="Y51"/>
  <c r="X51"/>
  <c r="W50" a="1"/>
  <c r="W50"/>
  <c r="Y50"/>
  <c r="X50"/>
  <c r="W49" a="1"/>
  <c r="W49"/>
  <c r="Y49"/>
  <c r="X49"/>
  <c r="W48" a="1"/>
  <c r="W48"/>
  <c r="Y48"/>
  <c r="X48"/>
  <c r="W47" a="1"/>
  <c r="W47"/>
  <c r="Y47"/>
  <c r="X47"/>
  <c r="W46" a="1"/>
  <c r="W46"/>
  <c r="Y46"/>
  <c r="X46"/>
  <c r="W45" a="1"/>
  <c r="W45"/>
  <c r="Y45"/>
  <c r="X45"/>
  <c r="W44" a="1"/>
  <c r="W44"/>
  <c r="Y44"/>
  <c r="X44"/>
  <c r="W43" a="1"/>
  <c r="W43"/>
  <c r="Y43"/>
  <c r="X43"/>
  <c r="W42" a="1"/>
  <c r="W42"/>
  <c r="Y42"/>
  <c r="X42"/>
  <c r="X34"/>
  <c r="Y34"/>
  <c r="V27"/>
  <c r="V28"/>
  <c r="V29"/>
  <c r="V30"/>
  <c r="V31"/>
  <c r="V32"/>
  <c r="V33"/>
  <c r="V34"/>
  <c r="X33"/>
  <c r="Y33"/>
  <c r="B28"/>
  <c r="B29"/>
  <c r="B30"/>
  <c r="B31"/>
  <c r="B32"/>
  <c r="B33"/>
  <c r="B34"/>
  <c r="B35"/>
  <c r="X32"/>
  <c r="Y32"/>
  <c r="X31"/>
  <c r="Y31"/>
  <c r="X30"/>
  <c r="Y30"/>
  <c r="X29"/>
  <c r="Y29"/>
  <c r="X28"/>
  <c r="Y28"/>
  <c r="X27"/>
  <c r="Y27"/>
  <c r="X26"/>
  <c r="Y26"/>
  <c r="K27"/>
  <c r="H27"/>
  <c r="O9"/>
  <c r="V10"/>
  <c r="O10"/>
  <c r="V11"/>
  <c r="O11"/>
  <c r="V12"/>
  <c r="O12"/>
  <c r="V13"/>
  <c r="O13"/>
  <c r="V14"/>
  <c r="O14"/>
  <c r="V15"/>
  <c r="O15"/>
  <c r="V16"/>
  <c r="O16"/>
  <c r="V17"/>
  <c r="O17"/>
  <c r="O18"/>
  <c r="O19"/>
  <c r="O20"/>
  <c r="P9"/>
  <c r="P10"/>
  <c r="P11"/>
  <c r="P12"/>
  <c r="P13"/>
  <c r="P14"/>
  <c r="P15"/>
  <c r="P16"/>
  <c r="P17"/>
  <c r="P18"/>
  <c r="P19"/>
  <c r="P20"/>
  <c r="P23"/>
  <c r="R20"/>
  <c r="Q20"/>
  <c r="R19"/>
  <c r="Q19"/>
  <c r="R18"/>
  <c r="Q18"/>
  <c r="X17"/>
  <c r="Y17"/>
  <c r="R17"/>
  <c r="Q17"/>
  <c r="X16"/>
  <c r="Y16"/>
  <c r="R16"/>
  <c r="Q16"/>
  <c r="X15"/>
  <c r="Y15"/>
  <c r="R15"/>
  <c r="Q15"/>
  <c r="AA9"/>
  <c r="AA10"/>
  <c r="AA11"/>
  <c r="AA12"/>
  <c r="AA13"/>
  <c r="AA14"/>
  <c r="X14"/>
  <c r="Y14"/>
  <c r="R14"/>
  <c r="Q14"/>
  <c r="X13"/>
  <c r="Y13"/>
  <c r="R13"/>
  <c r="Q13"/>
  <c r="X12"/>
  <c r="Y12"/>
  <c r="R12"/>
  <c r="Q12"/>
  <c r="X11"/>
  <c r="Y11"/>
  <c r="R11"/>
  <c r="Q11"/>
  <c r="X10"/>
  <c r="Y10"/>
  <c r="R10"/>
  <c r="Q10"/>
  <c r="X9"/>
  <c r="Y9"/>
  <c r="R9"/>
  <c r="Q9"/>
  <c r="R8"/>
  <c r="Q8"/>
  <c r="P8"/>
  <c r="O8"/>
  <c r="T95" i="1"/>
  <c r="T96"/>
  <c r="T97"/>
  <c r="T98"/>
  <c r="T99"/>
  <c r="T100"/>
  <c r="T101"/>
  <c r="T102"/>
  <c r="T103"/>
  <c r="P76"/>
  <c r="S76"/>
  <c r="P77"/>
  <c r="S77"/>
  <c r="P78"/>
  <c r="S78"/>
  <c r="P79"/>
  <c r="S79"/>
  <c r="P80"/>
  <c r="S80"/>
  <c r="P81"/>
  <c r="S81"/>
  <c r="P82"/>
  <c r="S82"/>
  <c r="P83"/>
  <c r="S83"/>
  <c r="P84"/>
  <c r="S84"/>
  <c r="P85"/>
  <c r="S85"/>
  <c r="P86"/>
  <c r="S86"/>
  <c r="P87"/>
  <c r="S87"/>
  <c r="P88"/>
  <c r="S88"/>
  <c r="P89"/>
  <c r="S89"/>
  <c r="P90"/>
  <c r="S90"/>
  <c r="P91"/>
  <c r="S91"/>
  <c r="P92"/>
  <c r="S92"/>
  <c r="P93"/>
  <c r="S93"/>
  <c r="P94"/>
  <c r="S94"/>
  <c r="P95"/>
  <c r="S95"/>
  <c r="P96"/>
  <c r="S96"/>
  <c r="P97"/>
  <c r="S97"/>
  <c r="P98"/>
  <c r="S98"/>
  <c r="P99"/>
  <c r="S99"/>
  <c r="P100"/>
  <c r="S100"/>
  <c r="P101"/>
  <c r="S101"/>
  <c r="P102"/>
  <c r="S102"/>
  <c r="P103"/>
  <c r="S103"/>
  <c r="Q58"/>
  <c r="R58"/>
  <c r="Q59"/>
  <c r="R59"/>
  <c r="Q60"/>
  <c r="R60"/>
  <c r="Q61"/>
  <c r="R61"/>
  <c r="Q62"/>
  <c r="R62"/>
  <c r="Q63"/>
  <c r="R63"/>
  <c r="Q64"/>
  <c r="R64"/>
  <c r="Q65"/>
  <c r="R65"/>
  <c r="Q66"/>
  <c r="R66"/>
  <c r="Q67"/>
  <c r="R67"/>
  <c r="Q68"/>
  <c r="R68"/>
  <c r="Q69"/>
  <c r="R69"/>
  <c r="Q70"/>
  <c r="R70"/>
  <c r="Q71"/>
  <c r="R71"/>
  <c r="Q72"/>
  <c r="R72"/>
  <c r="Q73"/>
  <c r="R73"/>
  <c r="Q74"/>
  <c r="R74"/>
  <c r="Q75"/>
  <c r="R75"/>
  <c r="Q76"/>
  <c r="R76"/>
  <c r="Q77"/>
  <c r="R77"/>
  <c r="Q78"/>
  <c r="R78"/>
  <c r="Q79"/>
  <c r="R79"/>
  <c r="Q80"/>
  <c r="R80"/>
  <c r="Q81"/>
  <c r="R81"/>
  <c r="Q82"/>
  <c r="R82"/>
  <c r="Q83"/>
  <c r="R83"/>
  <c r="Q84"/>
  <c r="R84"/>
  <c r="Q85"/>
  <c r="R85"/>
  <c r="Q86"/>
  <c r="R86"/>
  <c r="Q87"/>
  <c r="R87"/>
  <c r="Q88"/>
  <c r="R88"/>
  <c r="Q89"/>
  <c r="R89"/>
  <c r="Q90"/>
  <c r="R90"/>
  <c r="Q91"/>
  <c r="R91"/>
  <c r="Q92"/>
  <c r="R92"/>
  <c r="Q93"/>
  <c r="R93"/>
  <c r="Q94"/>
  <c r="R94"/>
  <c r="Q95"/>
  <c r="R95"/>
  <c r="Q96"/>
  <c r="R96"/>
  <c r="Q97"/>
  <c r="R97"/>
  <c r="Q98"/>
  <c r="R98"/>
  <c r="Q99"/>
  <c r="R99"/>
  <c r="Q100"/>
  <c r="R100"/>
  <c r="Q101"/>
  <c r="R101"/>
  <c r="Q102"/>
  <c r="R102"/>
  <c r="Q103"/>
  <c r="R103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L2"/>
  <c r="J2"/>
  <c r="I2"/>
  <c r="G2"/>
  <c r="F2"/>
  <c r="E2"/>
  <c r="H26" i="2"/>
  <c r="K26"/>
</calcChain>
</file>

<file path=xl/sharedStrings.xml><?xml version="1.0" encoding="utf-8"?>
<sst xmlns="http://schemas.openxmlformats.org/spreadsheetml/2006/main" count="314" uniqueCount="160">
  <si>
    <t>TOTAL</t>
  </si>
  <si>
    <t>WORKING COLUMNS</t>
  </si>
  <si>
    <t>Sr No.</t>
  </si>
  <si>
    <t>Full Name</t>
  </si>
  <si>
    <t>Hire Date</t>
  </si>
  <si>
    <t>Salary</t>
  </si>
  <si>
    <t>Bonus</t>
  </si>
  <si>
    <t>Overtime</t>
  </si>
  <si>
    <t>Department</t>
  </si>
  <si>
    <t>Sick Days</t>
  </si>
  <si>
    <t>Performance Score</t>
  </si>
  <si>
    <t>Dept Sal Avg</t>
  </si>
  <si>
    <t>High Performance</t>
  </si>
  <si>
    <t>Best Emp</t>
  </si>
  <si>
    <t>Low Perf</t>
  </si>
  <si>
    <t>High Overtime - Low Perf</t>
  </si>
  <si>
    <t>Fritz Klein</t>
  </si>
  <si>
    <t>Finance</t>
  </si>
  <si>
    <t>Porter Le</t>
  </si>
  <si>
    <t>Administration</t>
  </si>
  <si>
    <t>Oren Chase</t>
  </si>
  <si>
    <t>Human Resources</t>
  </si>
  <si>
    <t>Nasim Hanson</t>
  </si>
  <si>
    <t>Bradley Valenzuela</t>
  </si>
  <si>
    <t>Marketing</t>
  </si>
  <si>
    <t>Vaughan Dean</t>
  </si>
  <si>
    <t>Christopher Guerra</t>
  </si>
  <si>
    <t>R&amp;D</t>
  </si>
  <si>
    <t>Ishmael Grimes</t>
  </si>
  <si>
    <t>Ferdinand Small</t>
  </si>
  <si>
    <t>Customer Support</t>
  </si>
  <si>
    <t>Asher Benson</t>
  </si>
  <si>
    <t>Accounting</t>
  </si>
  <si>
    <t>Marvin Velasquez</t>
  </si>
  <si>
    <t>Tiger Schultz</t>
  </si>
  <si>
    <t>Kasimir Mccoy</t>
  </si>
  <si>
    <t>Oscar Keller</t>
  </si>
  <si>
    <t>Lamar Howard</t>
  </si>
  <si>
    <t>Wesley Conner</t>
  </si>
  <si>
    <t>IT</t>
  </si>
  <si>
    <t>Hu Frost</t>
  </si>
  <si>
    <t>Luke Luna</t>
  </si>
  <si>
    <t>Hayes Gonzales</t>
  </si>
  <si>
    <t>Sales</t>
  </si>
  <si>
    <t>Bevis Whitfield</t>
  </si>
  <si>
    <t>Connor Baxter</t>
  </si>
  <si>
    <t>Tiger Mcintosh</t>
  </si>
  <si>
    <t>Jerry Goodwin</t>
  </si>
  <si>
    <t>Jasper Battle</t>
  </si>
  <si>
    <t>Malcolm Hutchinson</t>
  </si>
  <si>
    <t>Gabriel Ayala</t>
  </si>
  <si>
    <t>Phelan Davidson</t>
  </si>
  <si>
    <t>Gavin Bell</t>
  </si>
  <si>
    <t>Hasad Faulkner</t>
  </si>
  <si>
    <t>Hector Madden</t>
  </si>
  <si>
    <t>Hyatt Edwards</t>
  </si>
  <si>
    <t>Oscar Emerson</t>
  </si>
  <si>
    <t>Bernard Wilkinson</t>
  </si>
  <si>
    <t>Caldwell Shepherd</t>
  </si>
  <si>
    <t>Damian Silva</t>
  </si>
  <si>
    <t>Lawrence Hicks</t>
  </si>
  <si>
    <t>Deacon Whitaker</t>
  </si>
  <si>
    <t>Brennan Ellison</t>
  </si>
  <si>
    <t>Linus Christian</t>
  </si>
  <si>
    <t>Elmo Abbott</t>
  </si>
  <si>
    <t>Kuame Griffith</t>
  </si>
  <si>
    <t>Henry Holcomb</t>
  </si>
  <si>
    <t>Chandler Stevens</t>
  </si>
  <si>
    <t>Oscar Dickerson</t>
  </si>
  <si>
    <t>Cruz Chase</t>
  </si>
  <si>
    <t>Ralph Alvarez</t>
  </si>
  <si>
    <t>Felix Boyle</t>
  </si>
  <si>
    <t>Brandon Mckenzie</t>
  </si>
  <si>
    <t>Ciaran Smith</t>
  </si>
  <si>
    <t>Wayne Golden</t>
  </si>
  <si>
    <t>Patrick Hawkins</t>
  </si>
  <si>
    <t>Adam Curtis</t>
  </si>
  <si>
    <t>Aidan Tyler</t>
  </si>
  <si>
    <t>Clayton Riddle</t>
  </si>
  <si>
    <t>Tad Carson</t>
  </si>
  <si>
    <t>Stewart Wilcox</t>
  </si>
  <si>
    <t>Barry Mccarthy</t>
  </si>
  <si>
    <t>Jonah Mcintyre</t>
  </si>
  <si>
    <t>Chester Baldwin</t>
  </si>
  <si>
    <t>Dennis Nguyen</t>
  </si>
  <si>
    <t>Sean Stark</t>
  </si>
  <si>
    <t>Brennan Walls</t>
  </si>
  <si>
    <t>Marvin Moses</t>
  </si>
  <si>
    <t>Drake Dominguez</t>
  </si>
  <si>
    <t>Emerson Sellers</t>
  </si>
  <si>
    <t>Dustin Harris</t>
  </si>
  <si>
    <t>Clayton Cotton</t>
  </si>
  <si>
    <t>Ferris Knight</t>
  </si>
  <si>
    <t>Rashad Zimmerman</t>
  </si>
  <si>
    <t>Noah Rowland</t>
  </si>
  <si>
    <t>Graham Gibbs</t>
  </si>
  <si>
    <t>Hyatt Rogers</t>
  </si>
  <si>
    <t>Gareth Wyatt</t>
  </si>
  <si>
    <t>Geoffrey Small</t>
  </si>
  <si>
    <t>Melvin Pickett</t>
  </si>
  <si>
    <t>Kasper Riley</t>
  </si>
  <si>
    <t>Simon Pratt</t>
  </si>
  <si>
    <t>Rajah Weber</t>
  </si>
  <si>
    <t>Griffith Nielsen</t>
  </si>
  <si>
    <t>Declan Larson</t>
  </si>
  <si>
    <t>Sawyer Byers</t>
  </si>
  <si>
    <t>Hashim Vazquez</t>
  </si>
  <si>
    <t>Stone Bush</t>
  </si>
  <si>
    <t>Harding Turner</t>
  </si>
  <si>
    <t>Jesse Barron</t>
  </si>
  <si>
    <t>Kenneth Booker</t>
  </si>
  <si>
    <t>Steel Stuart</t>
  </si>
  <si>
    <t>Darius Sandoval</t>
  </si>
  <si>
    <t>Giacomo Parks</t>
  </si>
  <si>
    <t>Flynn Guthrie</t>
  </si>
  <si>
    <t>Kenyon Petersen</t>
  </si>
  <si>
    <t>Dexter Hawkins</t>
  </si>
  <si>
    <t>Garrison Bray</t>
  </si>
  <si>
    <t>Kermit Duffy</t>
  </si>
  <si>
    <t>Eaton Stevens</t>
  </si>
  <si>
    <t>Judah Suarez</t>
  </si>
  <si>
    <t>Judah Robles</t>
  </si>
  <si>
    <t>Byron Foreman</t>
  </si>
  <si>
    <t>Wylie Burris</t>
  </si>
  <si>
    <t>Rafael Griffith</t>
  </si>
  <si>
    <t>Select Graph from Drop down</t>
  </si>
  <si>
    <t>Department Wise Salary</t>
  </si>
  <si>
    <t>Sr. No</t>
  </si>
  <si>
    <t>Monthly Total Salary ($)</t>
  </si>
  <si>
    <t>Department Avg. Salary ($)</t>
  </si>
  <si>
    <t>Department Wise Total &amp; Average Sick Leaves</t>
  </si>
  <si>
    <t>Top Sick Leave Users And Their Department Average</t>
  </si>
  <si>
    <t xml:space="preserve">Best Employees: (Considering Performance, Salary, Leaves) </t>
  </si>
  <si>
    <t xml:space="preserve">Low Performer: (Considering Performance, Salary, Leaves) </t>
  </si>
  <si>
    <t>Overtime:(High Paid and Low Performance Employees)</t>
  </si>
  <si>
    <t>Maximum &amp; Minimum Salary From Departments</t>
  </si>
  <si>
    <t>Total Sick Leaves</t>
  </si>
  <si>
    <t>Avg Sick Leaves</t>
  </si>
  <si>
    <t>Emp Name</t>
  </si>
  <si>
    <t>Emp. Sick Leaves</t>
  </si>
  <si>
    <t>Respective Dept Avg.</t>
  </si>
  <si>
    <t>Emp. Name</t>
  </si>
  <si>
    <t>Emp. Performance</t>
  </si>
  <si>
    <t>Dept. Performance</t>
  </si>
  <si>
    <t>Emp. Overtime ($)</t>
  </si>
  <si>
    <t>Department Overtime ($)</t>
  </si>
  <si>
    <t>Maximum Salary ($)</t>
  </si>
  <si>
    <t>Average Salary ($)</t>
  </si>
  <si>
    <t>Headcount</t>
  </si>
  <si>
    <t>Total</t>
  </si>
  <si>
    <t>Performance</t>
  </si>
  <si>
    <t>Average</t>
  </si>
  <si>
    <t>Sick Leaves</t>
  </si>
  <si>
    <t>Minimum</t>
  </si>
  <si>
    <t>Maximum</t>
  </si>
  <si>
    <t>DEPARTMENT</t>
  </si>
  <si>
    <t>COMPANY</t>
  </si>
  <si>
    <r>
      <t xml:space="preserve">DASHBOARD
</t>
    </r>
    <r>
      <rPr>
        <b/>
        <sz val="13"/>
        <color theme="0"/>
        <rFont val="Calibri"/>
        <family val="2"/>
        <scheme val="minor"/>
      </rPr>
      <t>HUMAN RESOURCES ANALYSIS</t>
    </r>
  </si>
  <si>
    <t>Score -1</t>
  </si>
  <si>
    <t>Score -5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</si>
</sst>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164" formatCode="&quot;$&quot;#,##0"/>
    <numFmt numFmtId="165" formatCode="0.0"/>
  </numFmts>
  <fonts count="27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Cambria"/>
      <family val="2"/>
      <scheme val="major"/>
    </font>
    <font>
      <b/>
      <sz val="10"/>
      <color theme="1"/>
      <name val="Verdana"/>
      <family val="2"/>
    </font>
    <font>
      <b/>
      <sz val="11"/>
      <color theme="1"/>
      <name val="Cambria"/>
      <family val="2"/>
      <scheme val="major"/>
    </font>
    <font>
      <sz val="10"/>
      <color theme="1"/>
      <name val="Cambria"/>
      <scheme val="major"/>
    </font>
    <font>
      <sz val="10"/>
      <color theme="1"/>
      <name val="Cambria"/>
      <family val="2"/>
      <scheme val="major"/>
    </font>
    <font>
      <b/>
      <sz val="12"/>
      <color theme="1"/>
      <name val="Times"/>
      <family val="1"/>
    </font>
    <font>
      <b/>
      <sz val="11"/>
      <color rgb="FFFF0000"/>
      <name val="Times"/>
      <family val="1"/>
    </font>
    <font>
      <b/>
      <sz val="10"/>
      <color theme="4"/>
      <name val="Calibri"/>
      <family val="2"/>
      <scheme val="minor"/>
    </font>
    <font>
      <b/>
      <sz val="8"/>
      <color rgb="FF002060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mbria"/>
      <family val="2"/>
      <scheme val="major"/>
    </font>
    <font>
      <sz val="8"/>
      <color theme="1"/>
      <name val="Cambria"/>
      <family val="2"/>
      <scheme val="maj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name val="Verdana"/>
      <family val="2"/>
    </font>
    <font>
      <b/>
      <sz val="8"/>
      <color theme="3"/>
      <name val="Cambria"/>
      <family val="2"/>
      <scheme val="major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2" tint="-0.249977111117893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DC3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gradientFill>
        <stop position="0">
          <color theme="0"/>
        </stop>
        <stop position="1">
          <color theme="4"/>
        </stop>
      </gradientFill>
    </fill>
    <fill>
      <patternFill patternType="solid">
        <fgColor theme="9" tint="0.79998168889431442"/>
        <bgColor indexed="64"/>
      </patternFill>
    </fill>
    <fill>
      <gradientFill degree="180">
        <stop position="0">
          <color theme="0"/>
        </stop>
        <stop position="1">
          <color theme="4"/>
        </stop>
      </gradient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hair">
        <color theme="0" tint="-0.24994659260841701"/>
      </right>
      <top style="thin">
        <color theme="1"/>
      </top>
      <bottom style="thin">
        <color theme="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hair">
        <color theme="0" tint="-0.2499465926084170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hair">
        <color theme="0" tint="-0.24994659260841701"/>
      </right>
      <top style="thin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auto="1"/>
      </right>
      <top/>
      <bottom style="hair">
        <color theme="0" tint="-0.24994659260841701"/>
      </bottom>
      <diagonal/>
    </border>
    <border>
      <left style="thin">
        <color auto="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auto="1"/>
      </left>
      <right style="hair">
        <color theme="0" tint="-0.24994659260841701"/>
      </right>
      <top style="hair">
        <color theme="0" tint="-0.24994659260841701"/>
      </top>
      <bottom style="thin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auto="1"/>
      </bottom>
      <diagonal/>
    </border>
    <border>
      <left style="hair">
        <color theme="0" tint="-0.24994659260841701"/>
      </left>
      <right style="thin">
        <color auto="1"/>
      </right>
      <top style="hair">
        <color theme="0" tint="-0.24994659260841701"/>
      </top>
      <bottom style="thin">
        <color auto="1"/>
      </bottom>
      <diagonal/>
    </border>
    <border>
      <left style="thick">
        <color theme="0" tint="-0.14993743705557422"/>
      </left>
      <right style="thick">
        <color theme="0" tint="-0.14993743705557422"/>
      </right>
      <top style="thick">
        <color theme="0" tint="-0.14993743705557422"/>
      </top>
      <bottom style="thick">
        <color theme="0" tint="-0.14993743705557422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ck">
        <color theme="0" tint="-0.14993743705557422"/>
      </left>
      <right style="thick">
        <color theme="0" tint="-0.14993743705557422"/>
      </right>
      <top style="thick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499984740745262"/>
      </right>
      <top/>
      <bottom style="hair">
        <color theme="0" tint="-0.24994659260841701"/>
      </bottom>
      <diagonal/>
    </border>
    <border>
      <left style="thin">
        <color theme="0" tint="-0.499984740745262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499984740745262"/>
      </left>
      <right style="hair">
        <color theme="0" tint="-0.24994659260841701"/>
      </right>
      <top style="hair">
        <color theme="0" tint="-0.24994659260841701"/>
      </top>
      <bottom style="thin">
        <color theme="0" tint="-0.49998474074526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499984740745262"/>
      </bottom>
      <diagonal/>
    </border>
    <border>
      <left style="hair">
        <color theme="0" tint="-0.24994659260841701"/>
      </left>
      <right style="thin">
        <color theme="0" tint="-0.499984740745262"/>
      </right>
      <top style="hair">
        <color theme="0" tint="-0.24994659260841701"/>
      </top>
      <bottom style="thin">
        <color theme="0" tint="-0.499984740745262"/>
      </bottom>
      <diagonal/>
    </border>
  </borders>
  <cellStyleXfs count="4">
    <xf numFmtId="0" fontId="0" fillId="0" borderId="0"/>
    <xf numFmtId="0" fontId="16" fillId="0" borderId="0" applyFill="0" applyProtection="0"/>
    <xf numFmtId="0" fontId="17" fillId="0" borderId="0"/>
    <xf numFmtId="0" fontId="18" fillId="0" borderId="0"/>
  </cellStyleXfs>
  <cellXfs count="122">
    <xf numFmtId="0" fontId="0" fillId="0" borderId="0" xfId="0"/>
    <xf numFmtId="0" fontId="1" fillId="0" borderId="0" xfId="0" applyFont="1" applyFill="1"/>
    <xf numFmtId="164" fontId="2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3" fillId="0" borderId="4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5" fillId="0" borderId="9" xfId="0" applyFont="1" applyFill="1" applyBorder="1" applyAlignment="1">
      <alignment horizontal="center"/>
    </xf>
    <xf numFmtId="14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6" fillId="0" borderId="0" xfId="0" applyFont="1" applyFill="1"/>
    <xf numFmtId="0" fontId="5" fillId="0" borderId="9" xfId="0" applyFont="1" applyFill="1" applyBorder="1"/>
    <xf numFmtId="14" fontId="5" fillId="0" borderId="10" xfId="0" applyNumberFormat="1" applyFont="1" applyFill="1" applyBorder="1"/>
    <xf numFmtId="164" fontId="5" fillId="0" borderId="10" xfId="0" applyNumberFormat="1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14" fontId="5" fillId="0" borderId="13" xfId="0" applyNumberFormat="1" applyFont="1" applyFill="1" applyBorder="1"/>
    <xf numFmtId="164" fontId="5" fillId="0" borderId="13" xfId="0" applyNumberFormat="1" applyFont="1" applyFill="1" applyBorder="1"/>
    <xf numFmtId="0" fontId="5" fillId="0" borderId="13" xfId="0" applyFont="1" applyFill="1" applyBorder="1"/>
    <xf numFmtId="0" fontId="5" fillId="0" borderId="14" xfId="0" applyFont="1" applyFill="1" applyBorder="1"/>
    <xf numFmtId="14" fontId="1" fillId="0" borderId="0" xfId="0" applyNumberFormat="1" applyFont="1" applyFill="1"/>
    <xf numFmtId="164" fontId="1" fillId="0" borderId="0" xfId="0" applyNumberFormat="1" applyFont="1" applyFill="1"/>
    <xf numFmtId="0" fontId="0" fillId="4" borderId="0" xfId="0" applyFill="1"/>
    <xf numFmtId="0" fontId="8" fillId="5" borderId="15" xfId="0" applyFont="1" applyFill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2" fillId="0" borderId="19" xfId="0" applyFont="1" applyFill="1" applyBorder="1" applyAlignment="1">
      <alignment horizontal="center"/>
    </xf>
    <xf numFmtId="1" fontId="6" fillId="0" borderId="20" xfId="0" applyNumberFormat="1" applyFont="1" applyFill="1" applyBorder="1" applyAlignment="1">
      <alignment horizontal="center"/>
    </xf>
    <xf numFmtId="0" fontId="15" fillId="0" borderId="0" xfId="0" applyFont="1"/>
    <xf numFmtId="0" fontId="2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1" fontId="6" fillId="0" borderId="2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165" fontId="14" fillId="0" borderId="10" xfId="0" applyNumberFormat="1" applyFont="1" applyFill="1" applyBorder="1" applyAlignment="1">
      <alignment horizontal="center"/>
    </xf>
    <xf numFmtId="42" fontId="14" fillId="0" borderId="10" xfId="0" applyNumberFormat="1" applyFont="1" applyFill="1" applyBorder="1" applyAlignment="1">
      <alignment horizontal="center"/>
    </xf>
    <xf numFmtId="42" fontId="14" fillId="0" borderId="20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165" fontId="6" fillId="0" borderId="26" xfId="0" applyNumberFormat="1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/>
    </xf>
    <xf numFmtId="165" fontId="14" fillId="0" borderId="22" xfId="0" applyNumberFormat="1" applyFont="1" applyFill="1" applyBorder="1" applyAlignment="1">
      <alignment horizontal="center"/>
    </xf>
    <xf numFmtId="42" fontId="14" fillId="0" borderId="22" xfId="0" applyNumberFormat="1" applyFont="1" applyFill="1" applyBorder="1" applyAlignment="1">
      <alignment horizontal="center"/>
    </xf>
    <xf numFmtId="42" fontId="14" fillId="0" borderId="23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" fontId="6" fillId="0" borderId="22" xfId="0" applyNumberFormat="1" applyFont="1" applyFill="1" applyBorder="1" applyAlignment="1">
      <alignment horizontal="center"/>
    </xf>
    <xf numFmtId="165" fontId="6" fillId="0" borderId="23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8" fillId="5" borderId="30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 wrapText="1"/>
    </xf>
    <xf numFmtId="0" fontId="10" fillId="3" borderId="32" xfId="0" applyFont="1" applyFill="1" applyBorder="1" applyAlignment="1">
      <alignment horizontal="center" wrapText="1"/>
    </xf>
    <xf numFmtId="0" fontId="10" fillId="3" borderId="33" xfId="0" applyFont="1" applyFill="1" applyBorder="1" applyAlignment="1">
      <alignment horizontal="center" wrapText="1"/>
    </xf>
    <xf numFmtId="0" fontId="19" fillId="6" borderId="16" xfId="0" applyFont="1" applyFill="1" applyBorder="1" applyAlignment="1">
      <alignment horizontal="center" wrapText="1"/>
    </xf>
    <xf numFmtId="0" fontId="19" fillId="6" borderId="17" xfId="0" applyFont="1" applyFill="1" applyBorder="1" applyAlignment="1">
      <alignment horizontal="center" wrapText="1"/>
    </xf>
    <xf numFmtId="0" fontId="19" fillId="6" borderId="18" xfId="0" applyFont="1" applyFill="1" applyBorder="1" applyAlignment="1">
      <alignment horizontal="center" wrapText="1"/>
    </xf>
    <xf numFmtId="0" fontId="0" fillId="9" borderId="0" xfId="0" applyFill="1"/>
    <xf numFmtId="0" fontId="0" fillId="0" borderId="0" xfId="0"/>
    <xf numFmtId="0" fontId="24" fillId="0" borderId="0" xfId="0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21" fillId="18" borderId="35" xfId="0" applyFont="1" applyFill="1" applyBorder="1" applyAlignment="1">
      <alignment horizontal="center" vertical="center" wrapText="1"/>
    </xf>
    <xf numFmtId="0" fontId="21" fillId="18" borderId="36" xfId="0" applyFont="1" applyFill="1" applyBorder="1" applyAlignment="1">
      <alignment horizontal="center" vertical="center" wrapText="1"/>
    </xf>
    <xf numFmtId="2" fontId="21" fillId="18" borderId="36" xfId="0" applyNumberFormat="1" applyFont="1" applyFill="1" applyBorder="1" applyAlignment="1">
      <alignment horizontal="center" vertical="center" wrapText="1"/>
    </xf>
    <xf numFmtId="42" fontId="21" fillId="18" borderId="36" xfId="0" applyNumberFormat="1" applyFont="1" applyFill="1" applyBorder="1" applyAlignment="1">
      <alignment horizontal="center" vertical="center" wrapText="1"/>
    </xf>
    <xf numFmtId="164" fontId="21" fillId="18" borderId="36" xfId="0" applyNumberFormat="1" applyFont="1" applyFill="1" applyBorder="1" applyAlignment="1">
      <alignment horizontal="center" vertical="center" wrapText="1"/>
    </xf>
    <xf numFmtId="0" fontId="0" fillId="14" borderId="37" xfId="0" applyFill="1" applyBorder="1" applyAlignment="1">
      <alignment horizontal="center"/>
    </xf>
    <xf numFmtId="0" fontId="15" fillId="14" borderId="38" xfId="0" applyFont="1" applyFill="1" applyBorder="1" applyAlignment="1">
      <alignment horizontal="center"/>
    </xf>
    <xf numFmtId="0" fontId="21" fillId="16" borderId="38" xfId="0" applyFont="1" applyFill="1" applyBorder="1" applyAlignment="1">
      <alignment horizontal="center" vertical="center"/>
    </xf>
    <xf numFmtId="0" fontId="21" fillId="13" borderId="39" xfId="0" applyFont="1" applyFill="1" applyBorder="1" applyAlignment="1">
      <alignment horizontal="center" vertical="center"/>
    </xf>
    <xf numFmtId="0" fontId="23" fillId="3" borderId="41" xfId="0" applyFont="1" applyFill="1" applyBorder="1" applyAlignment="1">
      <alignment horizontal="center" vertical="center" wrapText="1"/>
    </xf>
    <xf numFmtId="0" fontId="23" fillId="11" borderId="41" xfId="0" applyFont="1" applyFill="1" applyBorder="1" applyAlignment="1">
      <alignment horizontal="center" vertical="center" wrapText="1"/>
    </xf>
    <xf numFmtId="0" fontId="23" fillId="21" borderId="41" xfId="0" applyFont="1" applyFill="1" applyBorder="1" applyAlignment="1">
      <alignment horizontal="center" vertical="center" wrapText="1"/>
    </xf>
    <xf numFmtId="0" fontId="23" fillId="8" borderId="41" xfId="0" applyFont="1" applyFill="1" applyBorder="1" applyAlignment="1">
      <alignment horizontal="center" vertical="center" wrapText="1"/>
    </xf>
    <xf numFmtId="0" fontId="23" fillId="7" borderId="42" xfId="0" applyFont="1" applyFill="1" applyBorder="1" applyAlignment="1">
      <alignment horizontal="center" vertical="center" wrapText="1"/>
    </xf>
    <xf numFmtId="42" fontId="21" fillId="18" borderId="34" xfId="0" applyNumberFormat="1" applyFont="1" applyFill="1" applyBorder="1" applyAlignment="1">
      <alignment horizontal="center" vertical="center" wrapText="1"/>
    </xf>
    <xf numFmtId="42" fontId="21" fillId="18" borderId="43" xfId="0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14" fontId="7" fillId="0" borderId="44" xfId="0" applyNumberFormat="1" applyFont="1" applyBorder="1" applyAlignment="1">
      <alignment horizontal="left"/>
    </xf>
    <xf numFmtId="0" fontId="0" fillId="0" borderId="44" xfId="0" applyBorder="1"/>
    <xf numFmtId="0" fontId="25" fillId="0" borderId="44" xfId="0" applyFont="1" applyBorder="1" applyAlignment="1">
      <alignment vertical="center" wrapText="1"/>
    </xf>
    <xf numFmtId="0" fontId="25" fillId="0" borderId="44" xfId="0" applyFont="1" applyBorder="1" applyAlignment="1">
      <alignment vertical="center"/>
    </xf>
    <xf numFmtId="0" fontId="0" fillId="9" borderId="44" xfId="0" applyFill="1" applyBorder="1"/>
    <xf numFmtId="0" fontId="21" fillId="20" borderId="38" xfId="0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top"/>
    </xf>
    <xf numFmtId="0" fontId="23" fillId="17" borderId="40" xfId="0" applyFont="1" applyFill="1" applyBorder="1" applyAlignment="1">
      <alignment horizontal="center" vertical="center" wrapText="1"/>
    </xf>
    <xf numFmtId="0" fontId="23" fillId="17" borderId="41" xfId="0" applyFont="1" applyFill="1" applyBorder="1" applyAlignment="1">
      <alignment horizontal="center" vertical="center" wrapText="1"/>
    </xf>
    <xf numFmtId="0" fontId="21" fillId="19" borderId="38" xfId="0" applyFont="1" applyFill="1" applyBorder="1" applyAlignment="1">
      <alignment horizontal="center" vertical="center"/>
    </xf>
    <xf numFmtId="0" fontId="21" fillId="15" borderId="38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0" fillId="12" borderId="0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4" fillId="3" borderId="48" xfId="0" applyNumberFormat="1" applyFont="1" applyFill="1" applyBorder="1" applyAlignment="1">
      <alignment horizontal="center" vertical="center" wrapText="1"/>
    </xf>
    <xf numFmtId="0" fontId="4" fillId="3" borderId="49" xfId="0" applyNumberFormat="1" applyFont="1" applyFill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164" fontId="1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1">
    <dxf>
      <font>
        <color theme="0"/>
      </font>
      <fill>
        <patternFill>
          <bgColor rgb="FF002060"/>
        </patternFill>
      </fill>
      <border>
        <left style="hair">
          <color theme="0" tint="-0.34998626667073579"/>
        </left>
        <right style="hair">
          <color theme="0" tint="-0.34998626667073579"/>
        </right>
        <top style="hair">
          <color theme="0" tint="-0.34998626667073579"/>
        </top>
        <bottom style="hair">
          <color theme="0" tint="-0.34998626667073579"/>
        </bottom>
        <vertical/>
        <horizontal/>
      </border>
    </dxf>
  </dxfs>
  <tableStyles count="0" defaultTableStyle="TableStyleMedium2" defaultPivotStyle="PivotStyleLight16"/>
  <colors>
    <mruColors>
      <color rgb="FF667004"/>
      <color rgb="FF0099FF"/>
      <color rgb="FFFFEAD5"/>
      <color rgb="FFFFCC66"/>
      <color rgb="FFCCCCFF"/>
      <color rgb="FFCCDC3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>
                <a:solidFill>
                  <a:schemeClr val="bg1"/>
                </a:solidFill>
              </a:defRPr>
            </a:pPr>
            <a:r>
              <a:rPr sz="1400">
                <a:solidFill>
                  <a:schemeClr val="bg1"/>
                </a:solidFill>
              </a:rPr>
              <a:t>COMPANY HEADCOUNT</a:t>
            </a:r>
          </a:p>
        </c:rich>
      </c:tx>
      <c:layout>
        <c:manualLayout>
          <c:xMode val="edge"/>
          <c:yMode val="edge"/>
          <c:x val="0.1558471128608932"/>
          <c:y val="2.7777777777777922E-2"/>
        </c:manualLayout>
      </c:layout>
    </c:title>
    <c:plotArea>
      <c:layout>
        <c:manualLayout>
          <c:layoutTarget val="inner"/>
          <c:xMode val="edge"/>
          <c:yMode val="edge"/>
          <c:x val="0.17058136482939676"/>
          <c:y val="0.17842155147273295"/>
          <c:w val="0.43026924759405138"/>
          <c:h val="0.71711541265675316"/>
        </c:manualLayout>
      </c:layout>
      <c:pieChart>
        <c:varyColors val="1"/>
        <c:ser>
          <c:idx val="0"/>
          <c:order val="0"/>
          <c:tx>
            <c:strRef>
              <c:f>DASHBOARD!$D$24</c:f>
              <c:strCache>
                <c:ptCount val="1"/>
                <c:pt idx="0">
                  <c:v>Headcount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1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2"/>
            <c:spPr>
              <a:solidFill>
                <a:srgbClr val="92D050"/>
              </a:solidFill>
              <a:ln>
                <a:solidFill>
                  <a:schemeClr val="bg1"/>
                </a:solidFill>
              </a:ln>
            </c:spPr>
          </c:dPt>
          <c:dPt>
            <c:idx val="4"/>
            <c:spPr>
              <a:solidFill>
                <a:srgbClr val="00B0F0"/>
              </a:solidFill>
              <a:ln>
                <a:solidFill>
                  <a:schemeClr val="bg1"/>
                </a:solidFill>
              </a:ln>
            </c:spPr>
          </c:dPt>
          <c:dPt>
            <c:idx val="5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dPt>
          <c:dPt>
            <c:idx val="7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</c:dPt>
          <c:dPt>
            <c:idx val="8"/>
            <c:spPr>
              <a:solidFill>
                <a:srgbClr val="00B050"/>
              </a:solidFill>
              <a:ln>
                <a:solidFill>
                  <a:schemeClr val="bg1"/>
                </a:solidFill>
              </a:ln>
            </c:spPr>
          </c:dPt>
          <c:dLbls>
            <c:txPr>
              <a:bodyPr/>
              <a:lstStyle/>
              <a:p>
                <a:pPr>
                  <a:defRPr lang="en-US" sz="800" b="1" i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  <c:showLeaderLines val="1"/>
          </c:dLbls>
          <c:cat>
            <c:strRef>
              <c:f>DASHBOARD!$C$27:$C$35</c:f>
              <c:strCache>
                <c:ptCount val="9"/>
                <c:pt idx="0">
                  <c:v>Accounting</c:v>
                </c:pt>
                <c:pt idx="1">
                  <c:v>Administration</c:v>
                </c:pt>
                <c:pt idx="2">
                  <c:v>Customer Support</c:v>
                </c:pt>
                <c:pt idx="3">
                  <c:v>Finance</c:v>
                </c:pt>
                <c:pt idx="4">
                  <c:v>Human Resources</c:v>
                </c:pt>
                <c:pt idx="5">
                  <c:v>IT</c:v>
                </c:pt>
                <c:pt idx="6">
                  <c:v>Marketing</c:v>
                </c:pt>
                <c:pt idx="7">
                  <c:v>R&amp;D</c:v>
                </c:pt>
                <c:pt idx="8">
                  <c:v>Sales</c:v>
                </c:pt>
              </c:strCache>
            </c:strRef>
          </c:cat>
          <c:val>
            <c:numRef>
              <c:f>DASHBOARD!$D$27:$D$35</c:f>
              <c:numCache>
                <c:formatCode>General</c:formatCode>
                <c:ptCount val="9"/>
                <c:pt idx="0">
                  <c:v>10</c:v>
                </c:pt>
                <c:pt idx="1">
                  <c:v>13</c:v>
                </c:pt>
                <c:pt idx="2">
                  <c:v>5</c:v>
                </c:pt>
                <c:pt idx="3">
                  <c:v>10</c:v>
                </c:pt>
                <c:pt idx="4">
                  <c:v>9</c:v>
                </c:pt>
                <c:pt idx="5">
                  <c:v>15</c:v>
                </c:pt>
                <c:pt idx="6">
                  <c:v>11</c:v>
                </c:pt>
                <c:pt idx="7">
                  <c:v>14</c:v>
                </c:pt>
                <c:pt idx="8">
                  <c:v>13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1610908468404577"/>
          <c:y val="0.12386484928446857"/>
          <c:w val="0.25841321398861788"/>
          <c:h val="0.7526861789198187"/>
        </c:manualLayout>
      </c:layout>
      <c:txPr>
        <a:bodyPr/>
        <a:lstStyle/>
        <a:p>
          <a:pPr>
            <a:defRPr lang="en-US" sz="800" b="1">
              <a:solidFill>
                <a:schemeClr val="bg1"/>
              </a:solidFill>
            </a:defRPr>
          </a:pPr>
          <a:endParaRPr lang="en-US"/>
        </a:p>
      </c:txPr>
    </c:legend>
    <c:plotVisOnly val="1"/>
  </c:chart>
  <c:spPr>
    <a:solidFill>
      <a:sysClr val="windowText" lastClr="000000">
        <a:alpha val="76000"/>
      </a:sysClr>
    </a:solidFill>
    <a:ln>
      <a:solidFill>
        <a:srgbClr val="FFFF00"/>
      </a:solidFill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DASHBOARD!$P$7</c:f>
          <c:strCache>
            <c:ptCount val="1"/>
            <c:pt idx="0">
              <c:v>Department Wise Salary</c:v>
            </c:pt>
          </c:strCache>
        </c:strRef>
      </c:tx>
      <c:layout>
        <c:manualLayout>
          <c:xMode val="edge"/>
          <c:yMode val="edge"/>
          <c:x val="9.7173130556293605E-2"/>
          <c:y val="0"/>
        </c:manualLayout>
      </c:layout>
      <c:overlay val="1"/>
      <c:txPr>
        <a:bodyPr/>
        <a:lstStyle/>
        <a:p>
          <a:pPr>
            <a:defRPr lang="en-US" sz="1600" b="1">
              <a:latin typeface="+mj-lt"/>
              <a:cs typeface="Andalus" pitchFamily="18" charset="-78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8.5368424548860747E-2"/>
          <c:y val="0.15640178876497929"/>
          <c:w val="0.8161883919702918"/>
          <c:h val="0.58618662566168966"/>
        </c:manualLayout>
      </c:layout>
      <c:barChart>
        <c:barDir val="col"/>
        <c:grouping val="stacked"/>
        <c:ser>
          <c:idx val="0"/>
          <c:order val="0"/>
          <c:tx>
            <c:strRef>
              <c:f>DASHBOARD!$R$8</c:f>
              <c:strCache>
                <c:ptCount val="1"/>
                <c:pt idx="0">
                  <c:v>Department Avg. Salary ($)</c:v>
                </c:pt>
              </c:strCache>
            </c:strRef>
          </c:tx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1"/>
          <c:cat>
            <c:strRef>
              <c:f>[0]!Second</c:f>
              <c:strCache>
                <c:ptCount val="9"/>
                <c:pt idx="0">
                  <c:v>Sales</c:v>
                </c:pt>
                <c:pt idx="1">
                  <c:v>IT</c:v>
                </c:pt>
                <c:pt idx="2">
                  <c:v>R&amp;D</c:v>
                </c:pt>
                <c:pt idx="3">
                  <c:v>Administration</c:v>
                </c:pt>
                <c:pt idx="4">
                  <c:v>Marketing</c:v>
                </c:pt>
                <c:pt idx="5">
                  <c:v>Accounting</c:v>
                </c:pt>
                <c:pt idx="6">
                  <c:v>Finance</c:v>
                </c:pt>
                <c:pt idx="7">
                  <c:v>Human Resources</c:v>
                </c:pt>
                <c:pt idx="8">
                  <c:v>Customer Support</c:v>
                </c:pt>
              </c:strCache>
            </c:strRef>
          </c:cat>
          <c:val>
            <c:numRef>
              <c:f>[0]!Fourth</c:f>
              <c:numCache>
                <c:formatCode>0</c:formatCode>
                <c:ptCount val="9"/>
                <c:pt idx="0">
                  <c:v>64692.307692307695</c:v>
                </c:pt>
                <c:pt idx="1">
                  <c:v>68133.333333333328</c:v>
                </c:pt>
                <c:pt idx="2">
                  <c:v>66071.428571428565</c:v>
                </c:pt>
                <c:pt idx="3">
                  <c:v>69538.461538461532</c:v>
                </c:pt>
                <c:pt idx="4">
                  <c:v>58000</c:v>
                </c:pt>
                <c:pt idx="5">
                  <c:v>57200</c:v>
                </c:pt>
                <c:pt idx="6">
                  <c:v>55400</c:v>
                </c:pt>
                <c:pt idx="7">
                  <c:v>57444.444444444445</c:v>
                </c:pt>
                <c:pt idx="8">
                  <c:v>63400</c:v>
                </c:pt>
              </c:numCache>
            </c:numRef>
          </c:val>
        </c:ser>
        <c:overlap val="100"/>
        <c:axId val="71969024"/>
        <c:axId val="71979008"/>
      </c:barChart>
      <c:lineChart>
        <c:grouping val="standard"/>
        <c:ser>
          <c:idx val="3"/>
          <c:order val="1"/>
          <c:tx>
            <c:strRef>
              <c:f>DASHBOARD!$Q$8</c:f>
              <c:strCache>
                <c:ptCount val="1"/>
                <c:pt idx="0">
                  <c:v>Monthly Total Salary ($)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5"/>
            <c:spPr>
              <a:solidFill>
                <a:srgbClr val="FFFF00"/>
              </a:solidFill>
            </c:spPr>
          </c:marker>
          <c:dLbls>
            <c:spPr>
              <a:solidFill>
                <a:schemeClr val="bg1">
                  <a:lumMod val="75000"/>
                </a:schemeClr>
              </a:solidFill>
              <a:ln>
                <a:solidFill>
                  <a:srgbClr val="FFFF00"/>
                </a:solidFill>
              </a:ln>
            </c:spPr>
            <c:txPr>
              <a:bodyPr rot="0" vert="horz" anchor="t" anchorCtr="0"/>
              <a:lstStyle/>
              <a:p>
                <a:pPr>
                  <a:defRPr lang="en-US" sz="8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[0]!Second</c:f>
              <c:strCache>
                <c:ptCount val="9"/>
                <c:pt idx="0">
                  <c:v>Sales</c:v>
                </c:pt>
                <c:pt idx="1">
                  <c:v>IT</c:v>
                </c:pt>
                <c:pt idx="2">
                  <c:v>R&amp;D</c:v>
                </c:pt>
                <c:pt idx="3">
                  <c:v>Administration</c:v>
                </c:pt>
                <c:pt idx="4">
                  <c:v>Marketing</c:v>
                </c:pt>
                <c:pt idx="5">
                  <c:v>Accounting</c:v>
                </c:pt>
                <c:pt idx="6">
                  <c:v>Finance</c:v>
                </c:pt>
                <c:pt idx="7">
                  <c:v>Human Resources</c:v>
                </c:pt>
                <c:pt idx="8">
                  <c:v>Customer Support</c:v>
                </c:pt>
              </c:strCache>
            </c:strRef>
          </c:cat>
          <c:val>
            <c:numRef>
              <c:f>[0]!Third</c:f>
              <c:numCache>
                <c:formatCode>0</c:formatCode>
                <c:ptCount val="9"/>
                <c:pt idx="0">
                  <c:v>841000</c:v>
                </c:pt>
                <c:pt idx="1">
                  <c:v>1022000</c:v>
                </c:pt>
                <c:pt idx="2">
                  <c:v>925000</c:v>
                </c:pt>
                <c:pt idx="3">
                  <c:v>904000</c:v>
                </c:pt>
                <c:pt idx="4">
                  <c:v>638000</c:v>
                </c:pt>
                <c:pt idx="5">
                  <c:v>572000</c:v>
                </c:pt>
                <c:pt idx="6">
                  <c:v>554000</c:v>
                </c:pt>
                <c:pt idx="7">
                  <c:v>517000</c:v>
                </c:pt>
                <c:pt idx="8">
                  <c:v>317000</c:v>
                </c:pt>
              </c:numCache>
            </c:numRef>
          </c:val>
        </c:ser>
        <c:marker val="1"/>
        <c:axId val="71987200"/>
        <c:axId val="71980928"/>
      </c:lineChart>
      <c:catAx>
        <c:axId val="71969024"/>
        <c:scaling>
          <c:orientation val="minMax"/>
        </c:scaling>
        <c:axPos val="b"/>
        <c:numFmt formatCode="0" sourceLinked="1"/>
        <c:tickLblPos val="nextTo"/>
        <c:txPr>
          <a:bodyPr rot="-1500000" vert="horz" anchor="t" anchorCtr="0"/>
          <a:lstStyle/>
          <a:p>
            <a:pPr>
              <a:defRPr lang="en-US" sz="800" b="1"/>
            </a:pPr>
            <a:endParaRPr lang="en-US"/>
          </a:p>
        </c:txPr>
        <c:crossAx val="71979008"/>
        <c:crosses val="autoZero"/>
        <c:auto val="1"/>
        <c:lblAlgn val="ctr"/>
        <c:lblOffset val="100"/>
      </c:catAx>
      <c:valAx>
        <c:axId val="71979008"/>
        <c:scaling>
          <c:orientation val="minMax"/>
        </c:scaling>
        <c:axPos val="l"/>
        <c:title>
          <c:tx>
            <c:strRef>
              <c:f>DASHBOARD!$Q$8</c:f>
              <c:strCache>
                <c:ptCount val="1"/>
                <c:pt idx="0">
                  <c:v>Monthly Total Salary ($)</c:v>
                </c:pt>
              </c:strCache>
            </c:strRef>
          </c:tx>
          <c:layout>
            <c:manualLayout>
              <c:xMode val="edge"/>
              <c:yMode val="edge"/>
              <c:x val="1.0077366397012841E-3"/>
              <c:y val="0.24177346518553874"/>
            </c:manualLayout>
          </c:layout>
          <c:txPr>
            <a:bodyPr rot="-5400000" vert="horz"/>
            <a:lstStyle/>
            <a:p>
              <a:pPr>
                <a:defRPr lang="en-US" sz="800" b="1"/>
              </a:pPr>
              <a:endParaRPr lang="en-US"/>
            </a:p>
          </c:txPr>
        </c:title>
        <c:numFmt formatCode="0.0" sourceLinked="0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71969024"/>
        <c:crosses val="autoZero"/>
        <c:crossBetween val="between"/>
      </c:valAx>
      <c:valAx>
        <c:axId val="71980928"/>
        <c:scaling>
          <c:orientation val="minMax"/>
        </c:scaling>
        <c:axPos val="r"/>
        <c:title>
          <c:tx>
            <c:strRef>
              <c:f>DASHBOARD!$R$8</c:f>
              <c:strCache>
                <c:ptCount val="1"/>
                <c:pt idx="0">
                  <c:v>Department Avg. Salary ($)</c:v>
                </c:pt>
              </c:strCache>
            </c:strRef>
          </c:tx>
          <c:layout>
            <c:manualLayout>
              <c:xMode val="edge"/>
              <c:yMode val="edge"/>
              <c:x val="0.96583041314320472"/>
              <c:y val="0.21443339784547247"/>
            </c:manualLayout>
          </c:layout>
          <c:txPr>
            <a:bodyPr rot="-5400000" vert="horz"/>
            <a:lstStyle/>
            <a:p>
              <a:pPr>
                <a:defRPr lang="en-US" sz="800"/>
              </a:pPr>
              <a:endParaRPr lang="en-US"/>
            </a:p>
          </c:txPr>
        </c:title>
        <c:numFmt formatCode="0.0" sourceLinked="0"/>
        <c:tickLblPos val="nextTo"/>
        <c:txPr>
          <a:bodyPr/>
          <a:lstStyle/>
          <a:p>
            <a:pPr>
              <a:defRPr lang="en-US" sz="800"/>
            </a:pPr>
            <a:endParaRPr lang="en-US"/>
          </a:p>
        </c:txPr>
        <c:crossAx val="71987200"/>
        <c:crosses val="max"/>
        <c:crossBetween val="between"/>
      </c:valAx>
      <c:catAx>
        <c:axId val="71987200"/>
        <c:scaling>
          <c:orientation val="minMax"/>
        </c:scaling>
        <c:delete val="1"/>
        <c:axPos val="b"/>
        <c:numFmt formatCode="0" sourceLinked="1"/>
        <c:tickLblPos val="none"/>
        <c:crossAx val="7198092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r"/>
      <c:layout>
        <c:manualLayout>
          <c:xMode val="edge"/>
          <c:yMode val="edge"/>
          <c:x val="0.65060336657874784"/>
          <c:y val="5.6892121269272476E-2"/>
          <c:w val="0.34718984664295421"/>
          <c:h val="8.1067696726588451E-2"/>
        </c:manualLayout>
      </c:layout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</c:chart>
  <c:spPr>
    <a:noFill/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7283</xdr:colOff>
      <xdr:row>22</xdr:row>
      <xdr:rowOff>22412</xdr:rowOff>
    </xdr:from>
    <xdr:to>
      <xdr:col>17</xdr:col>
      <xdr:colOff>1277470</xdr:colOff>
      <xdr:row>35</xdr:row>
      <xdr:rowOff>173468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78442</xdr:colOff>
      <xdr:row>3</xdr:row>
      <xdr:rowOff>123264</xdr:rowOff>
    </xdr:from>
    <xdr:to>
      <xdr:col>12</xdr:col>
      <xdr:colOff>717177</xdr:colOff>
      <xdr:row>20</xdr:row>
      <xdr:rowOff>6095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 tint="0.249977111117893"/>
    <pageSetUpPr fitToPage="1"/>
  </sheetPr>
  <dimension ref="A1:AE135"/>
  <sheetViews>
    <sheetView showGridLines="0" showRowColHeaders="0" showZeros="0" tabSelected="1" zoomScaleNormal="100" workbookViewId="0">
      <selection sqref="A1:J3"/>
    </sheetView>
  </sheetViews>
  <sheetFormatPr defaultColWidth="0" defaultRowHeight="15" zeroHeight="1"/>
  <cols>
    <col min="1" max="1" width="1.28515625" customWidth="1"/>
    <col min="2" max="2" width="9.140625" customWidth="1"/>
    <col min="3" max="3" width="14.7109375" customWidth="1"/>
    <col min="4" max="8" width="10.140625" customWidth="1"/>
    <col min="9" max="11" width="10.85546875" customWidth="1"/>
    <col min="12" max="12" width="12" customWidth="1"/>
    <col min="13" max="13" width="11" customWidth="1"/>
    <col min="14" max="14" width="1.28515625" customWidth="1"/>
    <col min="15" max="15" width="8.5703125" customWidth="1"/>
    <col min="16" max="16" width="20" customWidth="1"/>
    <col min="17" max="17" width="19.7109375" customWidth="1"/>
    <col min="18" max="18" width="19.5703125" customWidth="1"/>
    <col min="19" max="19" width="1.28515625" customWidth="1"/>
    <col min="20" max="21" width="9.140625" hidden="1" customWidth="1"/>
    <col min="22" max="22" width="8.5703125" hidden="1" customWidth="1"/>
    <col min="23" max="23" width="20" hidden="1" customWidth="1"/>
    <col min="24" max="24" width="19.7109375" hidden="1" customWidth="1"/>
    <col min="25" max="25" width="22" hidden="1" customWidth="1"/>
    <col min="26" max="26" width="5.5703125" hidden="1" customWidth="1"/>
    <col min="27" max="27" width="3.7109375" hidden="1" customWidth="1"/>
    <col min="28" max="28" width="9.140625" hidden="1" customWidth="1"/>
    <col min="29" max="31" width="0" hidden="1" customWidth="1"/>
    <col min="32" max="16384" width="9.140625" hidden="1"/>
  </cols>
  <sheetData>
    <row r="1" spans="1:31" ht="21" customHeight="1">
      <c r="A1" s="111" t="s">
        <v>157</v>
      </c>
      <c r="B1" s="111"/>
      <c r="C1" s="111"/>
      <c r="D1" s="111"/>
      <c r="E1" s="111"/>
      <c r="F1" s="111"/>
      <c r="G1" s="111"/>
      <c r="H1" s="111"/>
      <c r="I1" s="111"/>
      <c r="J1" s="111"/>
      <c r="K1" s="105"/>
      <c r="L1" s="105"/>
      <c r="M1" s="105"/>
      <c r="N1" s="105"/>
      <c r="O1" s="105"/>
      <c r="P1" s="105"/>
      <c r="Q1" s="105"/>
      <c r="R1" s="105"/>
      <c r="S1" s="105"/>
    </row>
    <row r="2" spans="1:31" ht="21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05"/>
      <c r="L2" s="105"/>
      <c r="M2" s="105"/>
      <c r="N2" s="105"/>
      <c r="O2" s="105"/>
      <c r="P2" s="105"/>
      <c r="Q2" s="105"/>
      <c r="R2" s="105"/>
      <c r="S2" s="105"/>
    </row>
    <row r="3" spans="1:31" ht="15.75" customHeight="1" thickBo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05"/>
      <c r="L3" s="105"/>
      <c r="M3" s="105"/>
      <c r="N3" s="105"/>
      <c r="O3" s="105"/>
      <c r="P3" s="105"/>
      <c r="Q3" s="105"/>
      <c r="R3" s="105"/>
      <c r="S3" s="105"/>
    </row>
    <row r="4" spans="1:31" ht="9.9499999999999993" customHeight="1">
      <c r="A4" s="99"/>
      <c r="B4" s="99"/>
      <c r="C4" s="99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1"/>
      <c r="R4" s="102"/>
      <c r="S4" s="103"/>
    </row>
    <row r="5" spans="1:31">
      <c r="O5" s="110" t="s">
        <v>125</v>
      </c>
      <c r="P5" s="110"/>
      <c r="Q5" s="98"/>
      <c r="R5" s="98"/>
      <c r="S5" s="78"/>
    </row>
    <row r="6" spans="1:31" ht="15" customHeight="1" thickBot="1">
      <c r="O6" s="110"/>
      <c r="P6" s="110"/>
      <c r="Q6" s="98"/>
      <c r="R6" s="98"/>
      <c r="S6" s="78"/>
    </row>
    <row r="7" spans="1:31" ht="15" customHeight="1" thickTop="1" thickBot="1">
      <c r="O7" s="71">
        <v>1</v>
      </c>
      <c r="P7" s="38" t="str">
        <f>VLOOKUP(O7,$U:$V,2,0)</f>
        <v>Department Wise Salary</v>
      </c>
      <c r="S7" s="78"/>
      <c r="U7" s="37">
        <v>1</v>
      </c>
      <c r="V7" s="38" t="s">
        <v>126</v>
      </c>
    </row>
    <row r="8" spans="1:31" ht="15" customHeight="1" thickTop="1">
      <c r="O8" s="72" t="str">
        <f t="shared" ref="O8:O20" ca="1" si="0">INDIRECT(ADDRESS((MATCH($O$7,$U:$U,0)+ROW()-7),COLUMN(V7)))</f>
        <v>Sr. No</v>
      </c>
      <c r="P8" s="73" t="str">
        <f t="shared" ref="P8:P20" ca="1" si="1">INDIRECT(ADDRESS((MATCH($O$7,$U:$U,0)+ROW()-7),COLUMN(W7)))</f>
        <v>Department</v>
      </c>
      <c r="Q8" s="73" t="str">
        <f t="shared" ref="Q8:Q20" ca="1" si="2">INDIRECT(ADDRESS((MATCH($O$7,$U:$U,0)+ROW()-7),COLUMN(X7)))</f>
        <v>Monthly Total Salary ($)</v>
      </c>
      <c r="R8" s="74" t="str">
        <f t="shared" ref="R8:R20" ca="1" si="3">INDIRECT(ADDRESS((MATCH($O$7,$U:$U,0)+ROW()-7),COLUMN(Y7)))</f>
        <v>Department Avg. Salary ($)</v>
      </c>
      <c r="S8" s="78"/>
      <c r="V8" s="75" t="s">
        <v>127</v>
      </c>
      <c r="W8" s="76" t="s">
        <v>8</v>
      </c>
      <c r="X8" s="76" t="s">
        <v>128</v>
      </c>
      <c r="Y8" s="77" t="s">
        <v>129</v>
      </c>
      <c r="AA8" s="40">
        <v>1</v>
      </c>
      <c r="AB8" s="39" t="s">
        <v>126</v>
      </c>
      <c r="AD8" s="79"/>
      <c r="AE8" s="79"/>
    </row>
    <row r="9" spans="1:31" ht="15" customHeight="1">
      <c r="O9" s="80">
        <f t="shared" ca="1" si="0"/>
        <v>1</v>
      </c>
      <c r="P9" s="81" t="str">
        <f t="shared" ca="1" si="1"/>
        <v>Sales</v>
      </c>
      <c r="Q9" s="81">
        <f t="shared" ca="1" si="2"/>
        <v>841000</v>
      </c>
      <c r="R9" s="81">
        <f t="shared" ca="1" si="3"/>
        <v>64692.307692307695</v>
      </c>
      <c r="S9" s="78"/>
      <c r="V9" s="41">
        <v>1</v>
      </c>
      <c r="W9" s="21" t="s">
        <v>43</v>
      </c>
      <c r="X9" s="21">
        <f>SUMIF('Human Resources'!$H$3:$H$105,DASHBOARD!W9,'Human Resources'!$E$3:$E$105)</f>
        <v>841000</v>
      </c>
      <c r="Y9" s="42">
        <f>X9/COUNTIF('Human Resources'!$H$3:$H$105,DASHBOARD!W9)</f>
        <v>64692.307692307695</v>
      </c>
      <c r="AA9" s="40">
        <f t="shared" ref="AA9:AA14" si="4">AA8+1</f>
        <v>2</v>
      </c>
      <c r="AB9" s="39" t="s">
        <v>130</v>
      </c>
      <c r="AD9" s="79"/>
      <c r="AE9" s="79"/>
    </row>
    <row r="10" spans="1:31" ht="15" customHeight="1">
      <c r="O10" s="80">
        <f t="shared" ca="1" si="0"/>
        <v>2</v>
      </c>
      <c r="P10" s="81" t="str">
        <f t="shared" ca="1" si="1"/>
        <v>IT</v>
      </c>
      <c r="Q10" s="81">
        <f t="shared" ca="1" si="2"/>
        <v>1022000</v>
      </c>
      <c r="R10" s="81">
        <f t="shared" ca="1" si="3"/>
        <v>68133.333333333328</v>
      </c>
      <c r="S10" s="78"/>
      <c r="V10" s="41">
        <f>V9+1</f>
        <v>2</v>
      </c>
      <c r="W10" s="21" t="s">
        <v>39</v>
      </c>
      <c r="X10" s="21">
        <f>SUMIF('Human Resources'!$H$3:$H$105,DASHBOARD!W10,'Human Resources'!$E$3:$E$105)</f>
        <v>1022000</v>
      </c>
      <c r="Y10" s="42">
        <f>X10/COUNTIF('Human Resources'!$H$3:$H$105,DASHBOARD!W10)</f>
        <v>68133.333333333328</v>
      </c>
      <c r="AA10" s="40">
        <f t="shared" si="4"/>
        <v>3</v>
      </c>
      <c r="AB10" s="39" t="s">
        <v>131</v>
      </c>
      <c r="AD10" s="79"/>
      <c r="AE10" s="79"/>
    </row>
    <row r="11" spans="1:31" ht="15" customHeight="1">
      <c r="M11" s="43"/>
      <c r="N11" s="43"/>
      <c r="O11" s="80">
        <f t="shared" ca="1" si="0"/>
        <v>3</v>
      </c>
      <c r="P11" s="81" t="str">
        <f t="shared" ca="1" si="1"/>
        <v>R&amp;D</v>
      </c>
      <c r="Q11" s="81">
        <f t="shared" ca="1" si="2"/>
        <v>925000</v>
      </c>
      <c r="R11" s="81">
        <f t="shared" ca="1" si="3"/>
        <v>66071.428571428565</v>
      </c>
      <c r="S11" s="78"/>
      <c r="T11" s="43"/>
      <c r="U11" s="43"/>
      <c r="V11" s="41">
        <f>V10+1</f>
        <v>3</v>
      </c>
      <c r="W11" s="21" t="s">
        <v>27</v>
      </c>
      <c r="X11" s="21">
        <f>SUMIF('Human Resources'!$H$3:$H$105,DASHBOARD!W11,'Human Resources'!$E$3:$E$105)</f>
        <v>925000</v>
      </c>
      <c r="Y11" s="42">
        <f>X11/COUNTIF('Human Resources'!$H$3:$H$105,DASHBOARD!W11)</f>
        <v>66071.428571428565</v>
      </c>
      <c r="AA11" s="40">
        <f t="shared" si="4"/>
        <v>4</v>
      </c>
      <c r="AB11" s="39" t="s">
        <v>132</v>
      </c>
    </row>
    <row r="12" spans="1:31" ht="15" customHeight="1">
      <c r="M12" s="43"/>
      <c r="N12" s="43"/>
      <c r="O12" s="80">
        <f t="shared" ca="1" si="0"/>
        <v>4</v>
      </c>
      <c r="P12" s="81" t="str">
        <f t="shared" ca="1" si="1"/>
        <v>Administration</v>
      </c>
      <c r="Q12" s="81">
        <f t="shared" ca="1" si="2"/>
        <v>904000</v>
      </c>
      <c r="R12" s="81">
        <f t="shared" ca="1" si="3"/>
        <v>69538.461538461532</v>
      </c>
      <c r="S12" s="78"/>
      <c r="T12" s="43"/>
      <c r="U12" s="43"/>
      <c r="V12" s="41">
        <f t="shared" ref="V12:V17" si="5">V11+1</f>
        <v>4</v>
      </c>
      <c r="W12" s="21" t="s">
        <v>19</v>
      </c>
      <c r="X12" s="21">
        <f>SUMIF('Human Resources'!$H$3:$H$105,DASHBOARD!W12,'Human Resources'!$E$3:$E$105)</f>
        <v>904000</v>
      </c>
      <c r="Y12" s="42">
        <f>X12/COUNTIF('Human Resources'!$H$3:$H$105,DASHBOARD!W12)</f>
        <v>69538.461538461532</v>
      </c>
      <c r="AA12" s="40">
        <f t="shared" si="4"/>
        <v>5</v>
      </c>
      <c r="AB12" s="39" t="s">
        <v>133</v>
      </c>
    </row>
    <row r="13" spans="1:31" ht="15" customHeight="1">
      <c r="M13" s="43"/>
      <c r="N13" s="43"/>
      <c r="O13" s="80">
        <f t="shared" ca="1" si="0"/>
        <v>5</v>
      </c>
      <c r="P13" s="81" t="str">
        <f t="shared" ca="1" si="1"/>
        <v>Marketing</v>
      </c>
      <c r="Q13" s="81">
        <f t="shared" ca="1" si="2"/>
        <v>638000</v>
      </c>
      <c r="R13" s="81">
        <f t="shared" ca="1" si="3"/>
        <v>58000</v>
      </c>
      <c r="S13" s="78"/>
      <c r="T13" s="43"/>
      <c r="U13" s="43"/>
      <c r="V13" s="41">
        <f t="shared" si="5"/>
        <v>5</v>
      </c>
      <c r="W13" s="21" t="s">
        <v>24</v>
      </c>
      <c r="X13" s="21">
        <f>SUMIF('Human Resources'!$H$3:$H$105,DASHBOARD!W13,'Human Resources'!$E$3:$E$105)</f>
        <v>638000</v>
      </c>
      <c r="Y13" s="42">
        <f>X13/COUNTIF('Human Resources'!$H$3:$H$105,DASHBOARD!W13)</f>
        <v>58000</v>
      </c>
      <c r="AA13" s="40">
        <f t="shared" si="4"/>
        <v>6</v>
      </c>
      <c r="AB13" s="39" t="s">
        <v>134</v>
      </c>
    </row>
    <row r="14" spans="1:31" ht="15" customHeight="1">
      <c r="M14" s="43"/>
      <c r="N14" s="43"/>
      <c r="O14" s="80">
        <f t="shared" ca="1" si="0"/>
        <v>6</v>
      </c>
      <c r="P14" s="81" t="str">
        <f t="shared" ca="1" si="1"/>
        <v>Accounting</v>
      </c>
      <c r="Q14" s="81">
        <f t="shared" ca="1" si="2"/>
        <v>572000</v>
      </c>
      <c r="R14" s="81">
        <f t="shared" ca="1" si="3"/>
        <v>57200</v>
      </c>
      <c r="S14" s="78"/>
      <c r="T14" s="43"/>
      <c r="U14" s="43"/>
      <c r="V14" s="41">
        <f t="shared" si="5"/>
        <v>6</v>
      </c>
      <c r="W14" s="21" t="s">
        <v>32</v>
      </c>
      <c r="X14" s="21">
        <f>SUMIF('Human Resources'!$H$3:$H$105,DASHBOARD!W14,'Human Resources'!$E$3:$E$105)</f>
        <v>572000</v>
      </c>
      <c r="Y14" s="42">
        <f>X14/COUNTIF('Human Resources'!$H$3:$H$105,DASHBOARD!W14)</f>
        <v>57200</v>
      </c>
      <c r="AA14" s="40">
        <f t="shared" si="4"/>
        <v>7</v>
      </c>
      <c r="AB14" s="39" t="s">
        <v>135</v>
      </c>
    </row>
    <row r="15" spans="1:31" ht="15" customHeight="1">
      <c r="M15" s="43"/>
      <c r="N15" s="43"/>
      <c r="O15" s="80">
        <f t="shared" ca="1" si="0"/>
        <v>7</v>
      </c>
      <c r="P15" s="81" t="str">
        <f t="shared" ca="1" si="1"/>
        <v>Finance</v>
      </c>
      <c r="Q15" s="81">
        <f t="shared" ca="1" si="2"/>
        <v>554000</v>
      </c>
      <c r="R15" s="81">
        <f t="shared" ca="1" si="3"/>
        <v>55400</v>
      </c>
      <c r="S15" s="78"/>
      <c r="T15" s="43"/>
      <c r="U15" s="43"/>
      <c r="V15" s="41">
        <f t="shared" si="5"/>
        <v>7</v>
      </c>
      <c r="W15" s="21" t="s">
        <v>17</v>
      </c>
      <c r="X15" s="21">
        <f>SUMIF('Human Resources'!$H$3:$H$105,DASHBOARD!W15,'Human Resources'!$E$3:$E$105)</f>
        <v>554000</v>
      </c>
      <c r="Y15" s="42">
        <f>X15/COUNTIF('Human Resources'!$H$3:$H$105,DASHBOARD!W15)</f>
        <v>55400</v>
      </c>
    </row>
    <row r="16" spans="1:31" ht="15" customHeight="1">
      <c r="M16" s="43"/>
      <c r="N16" s="43"/>
      <c r="O16" s="80">
        <f t="shared" ca="1" si="0"/>
        <v>8</v>
      </c>
      <c r="P16" s="81" t="str">
        <f t="shared" ca="1" si="1"/>
        <v>Human Resources</v>
      </c>
      <c r="Q16" s="81">
        <f t="shared" ca="1" si="2"/>
        <v>517000</v>
      </c>
      <c r="R16" s="81">
        <f t="shared" ca="1" si="3"/>
        <v>57444.444444444445</v>
      </c>
      <c r="S16" s="78"/>
      <c r="T16" s="43"/>
      <c r="U16" s="43"/>
      <c r="V16" s="41">
        <f t="shared" si="5"/>
        <v>8</v>
      </c>
      <c r="W16" s="21" t="s">
        <v>21</v>
      </c>
      <c r="X16" s="21">
        <f>SUMIF('Human Resources'!$H$3:$H$105,DASHBOARD!W16,'Human Resources'!$E$3:$E$105)</f>
        <v>517000</v>
      </c>
      <c r="Y16" s="42">
        <f>X16/COUNTIF('Human Resources'!$H$3:$H$105,DASHBOARD!W16)</f>
        <v>57444.444444444445</v>
      </c>
    </row>
    <row r="17" spans="1:26" ht="15" customHeight="1">
      <c r="O17" s="80">
        <f t="shared" ca="1" si="0"/>
        <v>9</v>
      </c>
      <c r="P17" s="81" t="str">
        <f t="shared" ca="1" si="1"/>
        <v>Customer Support</v>
      </c>
      <c r="Q17" s="81">
        <f t="shared" ca="1" si="2"/>
        <v>317000</v>
      </c>
      <c r="R17" s="81">
        <f t="shared" ca="1" si="3"/>
        <v>63400</v>
      </c>
      <c r="S17" s="78"/>
      <c r="V17" s="44">
        <f t="shared" si="5"/>
        <v>9</v>
      </c>
      <c r="W17" s="45" t="s">
        <v>30</v>
      </c>
      <c r="X17" s="45">
        <f>SUMIF('Human Resources'!$H$3:$H$105,DASHBOARD!W17,'Human Resources'!$E$3:$E$105)</f>
        <v>317000</v>
      </c>
      <c r="Y17" s="46">
        <f>X17/COUNTIF('Human Resources'!$H$3:$H$105,DASHBOARD!W17)</f>
        <v>63400</v>
      </c>
    </row>
    <row r="18" spans="1:26" ht="15" customHeight="1">
      <c r="O18" s="80">
        <f t="shared" ca="1" si="0"/>
        <v>0</v>
      </c>
      <c r="P18" s="81">
        <f t="shared" ca="1" si="1"/>
        <v>0</v>
      </c>
      <c r="Q18" s="81">
        <f t="shared" ca="1" si="2"/>
        <v>0</v>
      </c>
      <c r="R18" s="81">
        <f t="shared" ca="1" si="3"/>
        <v>0</v>
      </c>
      <c r="S18" s="78"/>
    </row>
    <row r="19" spans="1:26" ht="15" customHeight="1">
      <c r="O19" s="80">
        <f t="shared" ca="1" si="0"/>
        <v>0</v>
      </c>
      <c r="P19" s="81">
        <f t="shared" ca="1" si="1"/>
        <v>0</v>
      </c>
      <c r="Q19" s="81">
        <f t="shared" ca="1" si="2"/>
        <v>0</v>
      </c>
      <c r="R19" s="81">
        <f t="shared" ca="1" si="3"/>
        <v>0</v>
      </c>
      <c r="S19" s="78"/>
    </row>
    <row r="20" spans="1:26" ht="15" customHeight="1">
      <c r="O20" s="80">
        <f t="shared" ca="1" si="0"/>
        <v>0</v>
      </c>
      <c r="P20" s="81">
        <f t="shared" ca="1" si="1"/>
        <v>0</v>
      </c>
      <c r="Q20" s="81">
        <f t="shared" ca="1" si="2"/>
        <v>0</v>
      </c>
      <c r="R20" s="81">
        <f t="shared" ca="1" si="3"/>
        <v>0</v>
      </c>
      <c r="S20" s="78"/>
    </row>
    <row r="21" spans="1:26" ht="9.9499999999999993" customHeight="1">
      <c r="S21" s="78"/>
    </row>
    <row r="22" spans="1:26" ht="7.5" customHeight="1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U22" s="36"/>
      <c r="V22" s="36"/>
      <c r="W22" s="36"/>
      <c r="X22" s="36"/>
      <c r="Y22" s="36"/>
      <c r="Z22" s="36"/>
    </row>
    <row r="23" spans="1:26" ht="9.75" customHeight="1" thickBot="1">
      <c r="P23">
        <f ca="1">SUM(Second)</f>
        <v>0</v>
      </c>
      <c r="S23" s="78"/>
    </row>
    <row r="24" spans="1:26" ht="15" customHeight="1" thickTop="1" thickBot="1">
      <c r="B24" s="87"/>
      <c r="C24" s="88"/>
      <c r="D24" s="89" t="s">
        <v>148</v>
      </c>
      <c r="E24" s="108" t="s">
        <v>150</v>
      </c>
      <c r="F24" s="108"/>
      <c r="G24" s="109" t="s">
        <v>152</v>
      </c>
      <c r="H24" s="109"/>
      <c r="I24" s="104" t="s">
        <v>5</v>
      </c>
      <c r="J24" s="104"/>
      <c r="K24" s="104"/>
      <c r="L24" s="104"/>
      <c r="M24" s="90" t="s">
        <v>7</v>
      </c>
      <c r="N24" s="49"/>
      <c r="S24" s="78"/>
      <c r="U24" s="37">
        <f>U7+1</f>
        <v>2</v>
      </c>
      <c r="V24" s="38" t="s">
        <v>130</v>
      </c>
    </row>
    <row r="25" spans="1:26" ht="15" customHeight="1" thickTop="1">
      <c r="B25" s="106" t="s">
        <v>155</v>
      </c>
      <c r="C25" s="107"/>
      <c r="D25" s="91" t="s">
        <v>149</v>
      </c>
      <c r="E25" s="92" t="s">
        <v>158</v>
      </c>
      <c r="F25" s="92" t="s">
        <v>159</v>
      </c>
      <c r="G25" s="93" t="s">
        <v>149</v>
      </c>
      <c r="H25" s="93" t="s">
        <v>151</v>
      </c>
      <c r="I25" s="94" t="s">
        <v>153</v>
      </c>
      <c r="J25" s="94" t="s">
        <v>154</v>
      </c>
      <c r="K25" s="94" t="s">
        <v>151</v>
      </c>
      <c r="L25" s="94" t="s">
        <v>149</v>
      </c>
      <c r="M25" s="95" t="s">
        <v>149</v>
      </c>
      <c r="N25" s="49"/>
      <c r="S25" s="78"/>
      <c r="V25" s="75" t="s">
        <v>127</v>
      </c>
      <c r="W25" s="76" t="s">
        <v>8</v>
      </c>
      <c r="X25" s="76" t="s">
        <v>136</v>
      </c>
      <c r="Y25" s="77" t="s">
        <v>137</v>
      </c>
    </row>
    <row r="26" spans="1:26" ht="15" customHeight="1">
      <c r="B26" s="82" t="s">
        <v>127</v>
      </c>
      <c r="C26" s="83" t="s">
        <v>156</v>
      </c>
      <c r="D26" s="83">
        <f>SUM(D27:D35)</f>
        <v>100</v>
      </c>
      <c r="E26" s="83">
        <f>SUM(E27:E35)</f>
        <v>22</v>
      </c>
      <c r="F26" s="83">
        <f>SUM(F27:F35)</f>
        <v>24</v>
      </c>
      <c r="G26" s="83">
        <f>SUM(G27:G35)</f>
        <v>337</v>
      </c>
      <c r="H26" s="84">
        <f>SUMPRODUCT(G27:G35,H27:H35)/SUM(G27:G35)</f>
        <v>3.4340792409041669</v>
      </c>
      <c r="I26" s="85">
        <f>MIN(I27:I35)</f>
        <v>20000</v>
      </c>
      <c r="J26" s="86">
        <f>MAX(J27:J35)</f>
        <v>149000</v>
      </c>
      <c r="K26" s="85">
        <f>SUMPRODUCT(K27:K35,D27:D35)/SUM(D27:D35)</f>
        <v>62900</v>
      </c>
      <c r="L26" s="96">
        <f>SUM(L27:L35)</f>
        <v>6290000</v>
      </c>
      <c r="M26" s="97">
        <f>SUM(M27:M35)</f>
        <v>184080</v>
      </c>
      <c r="N26" s="49"/>
      <c r="S26" s="78"/>
      <c r="V26" s="55">
        <v>1</v>
      </c>
      <c r="W26" s="56" t="s">
        <v>43</v>
      </c>
      <c r="X26" s="56">
        <f>SUMIF('Human Resources'!$H$3:$H$105,DASHBOARD!W26,'Human Resources'!$I$3:$I$105)</f>
        <v>51</v>
      </c>
      <c r="Y26" s="57">
        <f>X26/COUNTIF('Human Resources'!$H$3:$H$105,DASHBOARD!W26)</f>
        <v>3.9230769230769229</v>
      </c>
    </row>
    <row r="27" spans="1:26" ht="15" customHeight="1">
      <c r="B27" s="50">
        <v>1</v>
      </c>
      <c r="C27" s="51" t="s">
        <v>32</v>
      </c>
      <c r="D27" s="51">
        <f>COUNTIF('Human Resources'!$H$4:$H$105,DASHBOARD!C27)</f>
        <v>10</v>
      </c>
      <c r="E27" s="51">
        <f>COUNTIFS('Human Resources'!$H$4:$H$105,DASHBOARD!C27,'Human Resources'!$J$4:$J$105,1)</f>
        <v>1</v>
      </c>
      <c r="F27" s="51">
        <f>COUNTIFS('Human Resources'!$H$4:$H$105,DASHBOARD!C27,'Human Resources'!$J$4:$J$105,5)</f>
        <v>3</v>
      </c>
      <c r="G27" s="51">
        <f>SUMIF('Human Resources'!$H$4:$H$105,DASHBOARD!C27,'Human Resources'!$I$4:$I$105)</f>
        <v>32</v>
      </c>
      <c r="H27" s="52">
        <f t="shared" ref="H27:H35" si="6">G27/D27</f>
        <v>3.2</v>
      </c>
      <c r="I27" s="53">
        <f t="array" ref="I27">MIN(IF('Human Resources'!$H$4:$H$105=C27,'Human Resources'!$E$4:$E$105))</f>
        <v>34000</v>
      </c>
      <c r="J27" s="53">
        <f t="array" ref="J27">MAX(IF('Human Resources'!$H$4:$H$105=C27,'Human Resources'!$E$4:$E$105))</f>
        <v>78000</v>
      </c>
      <c r="K27" s="53">
        <f t="shared" ref="K27:K35" si="7">L27/D27</f>
        <v>57200</v>
      </c>
      <c r="L27" s="53">
        <f>SUMIF('Human Resources'!$H$4:$H$105,DASHBOARD!C27,'Human Resources'!$E$4:$E$105)</f>
        <v>572000</v>
      </c>
      <c r="M27" s="54">
        <f>SUMIF('Human Resources'!$H$3:$H$105,DASHBOARD!C27,'Human Resources'!$G$3:$G$105)</f>
        <v>29490</v>
      </c>
      <c r="N27" s="49"/>
      <c r="S27" s="78"/>
      <c r="V27" s="55">
        <f>V26+1</f>
        <v>2</v>
      </c>
      <c r="W27" s="56" t="s">
        <v>39</v>
      </c>
      <c r="X27" s="56">
        <f>SUMIF('Human Resources'!$H$3:$H$105,DASHBOARD!W27,'Human Resources'!$I$3:$I$105)</f>
        <v>45</v>
      </c>
      <c r="Y27" s="57">
        <f>X27/COUNTIF('Human Resources'!$H$3:$H$105,DASHBOARD!W27)</f>
        <v>3</v>
      </c>
    </row>
    <row r="28" spans="1:26" ht="15" customHeight="1">
      <c r="B28" s="50">
        <f>B27+1</f>
        <v>2</v>
      </c>
      <c r="C28" s="51" t="s">
        <v>19</v>
      </c>
      <c r="D28" s="51">
        <f>COUNTIF('Human Resources'!$H$4:$H$105,DASHBOARD!C28)</f>
        <v>13</v>
      </c>
      <c r="E28" s="51">
        <f>COUNTIFS('Human Resources'!$H$4:$H$105,DASHBOARD!C28,'Human Resources'!$J$4:$J$105,1)</f>
        <v>3</v>
      </c>
      <c r="F28" s="51">
        <f>COUNTIFS('Human Resources'!$H$4:$H$105,DASHBOARD!C28,'Human Resources'!$J$4:$J$105,5)</f>
        <v>3</v>
      </c>
      <c r="G28" s="51">
        <f>SUMIF('Human Resources'!$H$4:$H$105,DASHBOARD!C28,'Human Resources'!$I$4:$I$105)</f>
        <v>47</v>
      </c>
      <c r="H28" s="52">
        <f t="shared" ref="H28:H35" si="8">G28/D28</f>
        <v>3.6153846153846154</v>
      </c>
      <c r="I28" s="53">
        <f t="array" ref="I28">MIN(IF('Human Resources'!$H$4:$H$105=C28,'Human Resources'!$E$4:$E$105))</f>
        <v>29000</v>
      </c>
      <c r="J28" s="53">
        <f t="array" ref="J28">MAX(IF('Human Resources'!$H$4:$H$105=C28,'Human Resources'!$E$4:$E$105))</f>
        <v>149000</v>
      </c>
      <c r="K28" s="53">
        <f t="shared" ref="K28:K35" si="9">L28/D28</f>
        <v>69538.461538461532</v>
      </c>
      <c r="L28" s="53">
        <f>SUMIF('Human Resources'!$H$4:$H$105,DASHBOARD!C28,'Human Resources'!$E$4:$E$105)</f>
        <v>904000</v>
      </c>
      <c r="M28" s="54">
        <f>SUMIF('Human Resources'!$H$3:$H$105,DASHBOARD!C28,'Human Resources'!$G$3:$G$105)</f>
        <v>40720</v>
      </c>
      <c r="N28" s="49"/>
      <c r="S28" s="78"/>
      <c r="V28" s="55">
        <f t="shared" ref="V28:V34" si="10">V27+1</f>
        <v>3</v>
      </c>
      <c r="W28" s="56" t="s">
        <v>27</v>
      </c>
      <c r="X28" s="56">
        <f>SUMIF('Human Resources'!$H$3:$H$105,DASHBOARD!W28,'Human Resources'!$I$3:$I$105)</f>
        <v>47</v>
      </c>
      <c r="Y28" s="57">
        <f>X28/COUNTIF('Human Resources'!$H$3:$H$105,DASHBOARD!W28)</f>
        <v>3.3571428571428572</v>
      </c>
    </row>
    <row r="29" spans="1:26" ht="15" customHeight="1">
      <c r="B29" s="50">
        <f>B28+1</f>
        <v>3</v>
      </c>
      <c r="C29" s="51" t="s">
        <v>30</v>
      </c>
      <c r="D29" s="51">
        <f>COUNTIF('Human Resources'!$H$4:$H$105,DASHBOARD!C29)</f>
        <v>5</v>
      </c>
      <c r="E29" s="51">
        <f>COUNTIFS('Human Resources'!$H$4:$H$105,DASHBOARD!C29,'Human Resources'!$J$4:$J$105,1)</f>
        <v>0</v>
      </c>
      <c r="F29" s="51">
        <f>COUNTIFS('Human Resources'!$H$4:$H$105,DASHBOARD!C29,'Human Resources'!$J$4:$J$105,5)</f>
        <v>2</v>
      </c>
      <c r="G29" s="51">
        <f>SUMIF('Human Resources'!$H$4:$H$105,DASHBOARD!C29,'Human Resources'!$I$4:$I$105)</f>
        <v>17</v>
      </c>
      <c r="H29" s="52">
        <f t="shared" si="8"/>
        <v>3.4</v>
      </c>
      <c r="I29" s="53">
        <f t="array" ref="I29">MIN(IF('Human Resources'!$H$4:$H$105=C29,'Human Resources'!$E$4:$E$105))</f>
        <v>34000</v>
      </c>
      <c r="J29" s="53">
        <f t="array" ref="J29">MAX(IF('Human Resources'!$H$4:$H$105=C29,'Human Resources'!$E$4:$E$105))</f>
        <v>91000</v>
      </c>
      <c r="K29" s="53">
        <f t="shared" si="9"/>
        <v>63400</v>
      </c>
      <c r="L29" s="53">
        <f>SUMIF('Human Resources'!$H$4:$H$105,DASHBOARD!C29,'Human Resources'!$E$4:$E$105)</f>
        <v>317000</v>
      </c>
      <c r="M29" s="54">
        <f>SUMIF('Human Resources'!$H$3:$H$105,DASHBOARD!C29,'Human Resources'!$G$3:$G$105)</f>
        <v>12310</v>
      </c>
      <c r="N29" s="49"/>
      <c r="S29" s="78"/>
      <c r="V29" s="55">
        <f t="shared" si="10"/>
        <v>4</v>
      </c>
      <c r="W29" s="56" t="s">
        <v>19</v>
      </c>
      <c r="X29" s="56">
        <f>SUMIF('Human Resources'!$H$3:$H$105,DASHBOARD!W29,'Human Resources'!$I$3:$I$105)</f>
        <v>47</v>
      </c>
      <c r="Y29" s="57">
        <f>X29/COUNTIF('Human Resources'!$H$3:$H$105,DASHBOARD!W29)</f>
        <v>3.6153846153846154</v>
      </c>
    </row>
    <row r="30" spans="1:26" ht="15" customHeight="1">
      <c r="B30" s="50">
        <f t="shared" ref="B30:B35" si="11">B29+1</f>
        <v>4</v>
      </c>
      <c r="C30" s="51" t="s">
        <v>17</v>
      </c>
      <c r="D30" s="51">
        <f>COUNTIF('Human Resources'!$H$4:$H$105,DASHBOARD!C30)</f>
        <v>10</v>
      </c>
      <c r="E30" s="51">
        <f>COUNTIFS('Human Resources'!$H$4:$H$105,DASHBOARD!C30,'Human Resources'!$J$4:$J$105,1)</f>
        <v>2</v>
      </c>
      <c r="F30" s="51">
        <f>COUNTIFS('Human Resources'!$H$4:$H$105,DASHBOARD!C30,'Human Resources'!$J$4:$J$105,5)</f>
        <v>2</v>
      </c>
      <c r="G30" s="51">
        <f>SUMIF('Human Resources'!$H$4:$H$105,DASHBOARD!C30,'Human Resources'!$I$4:$I$105)</f>
        <v>38</v>
      </c>
      <c r="H30" s="52">
        <f t="shared" si="8"/>
        <v>3.8</v>
      </c>
      <c r="I30" s="53">
        <f t="array" ref="I30">MIN(IF('Human Resources'!$H$4:$H$105=C30,'Human Resources'!$E$4:$E$105))</f>
        <v>20000</v>
      </c>
      <c r="J30" s="53">
        <f t="array" ref="J30">MAX(IF('Human Resources'!$H$4:$H$105=C30,'Human Resources'!$E$4:$E$105))</f>
        <v>100000</v>
      </c>
      <c r="K30" s="53">
        <f t="shared" si="9"/>
        <v>55400</v>
      </c>
      <c r="L30" s="53">
        <f>SUMIF('Human Resources'!$H$4:$H$105,DASHBOARD!C30,'Human Resources'!$E$4:$E$105)</f>
        <v>554000</v>
      </c>
      <c r="M30" s="54">
        <f>SUMIF('Human Resources'!$H$3:$H$105,DASHBOARD!C30,'Human Resources'!$G$3:$G$105)</f>
        <v>26400</v>
      </c>
      <c r="N30" s="49"/>
      <c r="S30" s="78"/>
      <c r="V30" s="55">
        <f t="shared" si="10"/>
        <v>5</v>
      </c>
      <c r="W30" s="56" t="s">
        <v>24</v>
      </c>
      <c r="X30" s="56">
        <f>SUMIF('Human Resources'!$H$3:$H$105,DASHBOARD!W30,'Human Resources'!$I$3:$I$105)</f>
        <v>40</v>
      </c>
      <c r="Y30" s="57">
        <f>X30/COUNTIF('Human Resources'!$H$3:$H$105,DASHBOARD!W30)</f>
        <v>3.6363636363636362</v>
      </c>
    </row>
    <row r="31" spans="1:26" ht="15" customHeight="1">
      <c r="B31" s="50">
        <f t="shared" si="11"/>
        <v>5</v>
      </c>
      <c r="C31" s="51" t="s">
        <v>21</v>
      </c>
      <c r="D31" s="51">
        <f>COUNTIF('Human Resources'!$H$4:$H$105,DASHBOARD!C31)</f>
        <v>9</v>
      </c>
      <c r="E31" s="51">
        <f>COUNTIFS('Human Resources'!$H$4:$H$105,DASHBOARD!C31,'Human Resources'!$J$4:$J$105,1)</f>
        <v>2</v>
      </c>
      <c r="F31" s="51">
        <f>COUNTIFS('Human Resources'!$H$4:$H$105,DASHBOARD!C31,'Human Resources'!$J$4:$J$105,5)</f>
        <v>1</v>
      </c>
      <c r="G31" s="51">
        <f>SUMIF('Human Resources'!$H$4:$H$105,DASHBOARD!C31,'Human Resources'!$I$4:$I$105)</f>
        <v>20</v>
      </c>
      <c r="H31" s="52">
        <f t="shared" si="8"/>
        <v>2.2222222222222223</v>
      </c>
      <c r="I31" s="53">
        <f t="array" ref="I31">MIN(IF('Human Resources'!$H$4:$H$105=C31,'Human Resources'!$E$4:$E$105))</f>
        <v>29000</v>
      </c>
      <c r="J31" s="53">
        <f t="array" ref="J31">MAX(IF('Human Resources'!$H$4:$H$105=C31,'Human Resources'!$E$4:$E$105))</f>
        <v>98000</v>
      </c>
      <c r="K31" s="53">
        <f t="shared" si="9"/>
        <v>57444.444444444445</v>
      </c>
      <c r="L31" s="53">
        <f>SUMIF('Human Resources'!$H$4:$H$105,DASHBOARD!C31,'Human Resources'!$E$4:$E$105)</f>
        <v>517000</v>
      </c>
      <c r="M31" s="54">
        <f>SUMIF('Human Resources'!$H$3:$H$105,DASHBOARD!C31,'Human Resources'!$G$3:$G$105)</f>
        <v>13110</v>
      </c>
      <c r="N31" s="49"/>
      <c r="S31" s="78"/>
      <c r="V31" s="55">
        <f t="shared" si="10"/>
        <v>6</v>
      </c>
      <c r="W31" s="56" t="s">
        <v>32</v>
      </c>
      <c r="X31" s="56">
        <f>SUMIF('Human Resources'!$H$3:$H$105,DASHBOARD!W31,'Human Resources'!$I$3:$I$105)</f>
        <v>32</v>
      </c>
      <c r="Y31" s="57">
        <f>X31/COUNTIF('Human Resources'!$H$3:$H$105,DASHBOARD!W31)</f>
        <v>3.2</v>
      </c>
    </row>
    <row r="32" spans="1:26" ht="15" customHeight="1">
      <c r="B32" s="50">
        <f t="shared" si="11"/>
        <v>6</v>
      </c>
      <c r="C32" s="51" t="s">
        <v>39</v>
      </c>
      <c r="D32" s="51">
        <f>COUNTIF('Human Resources'!$H$4:$H$105,DASHBOARD!C32)</f>
        <v>15</v>
      </c>
      <c r="E32" s="51">
        <f>COUNTIFS('Human Resources'!$H$4:$H$105,DASHBOARD!C32,'Human Resources'!$J$4:$J$105,1)</f>
        <v>3</v>
      </c>
      <c r="F32" s="51">
        <f>COUNTIFS('Human Resources'!$H$4:$H$105,DASHBOARD!C32,'Human Resources'!$J$4:$J$105,5)</f>
        <v>3</v>
      </c>
      <c r="G32" s="51">
        <f>SUMIF('Human Resources'!$H$4:$H$105,DASHBOARD!C32,'Human Resources'!$I$4:$I$105)</f>
        <v>45</v>
      </c>
      <c r="H32" s="52">
        <f t="shared" si="8"/>
        <v>3</v>
      </c>
      <c r="I32" s="53">
        <f t="array" ref="I32">MIN(IF('Human Resources'!$H$4:$H$105=C32,'Human Resources'!$E$4:$E$105))</f>
        <v>38000</v>
      </c>
      <c r="J32" s="53">
        <f t="array" ref="J32">MAX(IF('Human Resources'!$H$4:$H$105=C32,'Human Resources'!$E$4:$E$105))</f>
        <v>89000</v>
      </c>
      <c r="K32" s="53">
        <f t="shared" si="9"/>
        <v>68133.333333333328</v>
      </c>
      <c r="L32" s="53">
        <f>SUMIF('Human Resources'!$H$4:$H$105,DASHBOARD!C32,'Human Resources'!$E$4:$E$105)</f>
        <v>1022000</v>
      </c>
      <c r="M32" s="54">
        <f>SUMIF('Human Resources'!$H$3:$H$105,DASHBOARD!C32,'Human Resources'!$G$3:$G$105)</f>
        <v>14070</v>
      </c>
      <c r="N32" s="49"/>
      <c r="S32" s="78"/>
      <c r="V32" s="55">
        <f t="shared" si="10"/>
        <v>7</v>
      </c>
      <c r="W32" s="56" t="s">
        <v>17</v>
      </c>
      <c r="X32" s="56">
        <f>SUMIF('Human Resources'!$H$3:$H$105,DASHBOARD!W32,'Human Resources'!$I$3:$I$105)</f>
        <v>38</v>
      </c>
      <c r="Y32" s="57">
        <f>X32/COUNTIF('Human Resources'!$H$3:$H$105,DASHBOARD!W32)</f>
        <v>3.8</v>
      </c>
    </row>
    <row r="33" spans="1:25" ht="15" customHeight="1">
      <c r="B33" s="50">
        <f t="shared" si="11"/>
        <v>7</v>
      </c>
      <c r="C33" s="51" t="s">
        <v>24</v>
      </c>
      <c r="D33" s="51">
        <f>COUNTIF('Human Resources'!$H$4:$H$105,DASHBOARD!C33)</f>
        <v>11</v>
      </c>
      <c r="E33" s="51">
        <f>COUNTIFS('Human Resources'!$H$4:$H$105,DASHBOARD!C33,'Human Resources'!$J$4:$J$105,1)</f>
        <v>5</v>
      </c>
      <c r="F33" s="51">
        <f>COUNTIFS('Human Resources'!$H$4:$H$105,DASHBOARD!C33,'Human Resources'!$J$4:$J$105,5)</f>
        <v>1</v>
      </c>
      <c r="G33" s="51">
        <f>SUMIF('Human Resources'!$H$4:$H$105,DASHBOARD!C33,'Human Resources'!$I$4:$I$105)</f>
        <v>40</v>
      </c>
      <c r="H33" s="52">
        <f t="shared" si="8"/>
        <v>3.6363636363636362</v>
      </c>
      <c r="I33" s="53">
        <f t="array" ref="I33">MIN(IF('Human Resources'!$H$4:$H$105=C33,'Human Resources'!$E$4:$E$105))</f>
        <v>31000</v>
      </c>
      <c r="J33" s="53">
        <f t="array" ref="J33">MAX(IF('Human Resources'!$H$4:$H$105=C33,'Human Resources'!$E$4:$E$105))</f>
        <v>93000</v>
      </c>
      <c r="K33" s="53">
        <f t="shared" si="9"/>
        <v>58000</v>
      </c>
      <c r="L33" s="53">
        <f>SUMIF('Human Resources'!$H$4:$H$105,DASHBOARD!C33,'Human Resources'!$E$4:$E$105)</f>
        <v>638000</v>
      </c>
      <c r="M33" s="54">
        <f>SUMIF('Human Resources'!$H$3:$H$105,DASHBOARD!C33,'Human Resources'!$G$3:$G$105)</f>
        <v>18380</v>
      </c>
      <c r="N33" s="49"/>
      <c r="S33" s="78"/>
      <c r="V33" s="55">
        <f t="shared" si="10"/>
        <v>8</v>
      </c>
      <c r="W33" s="56" t="s">
        <v>21</v>
      </c>
      <c r="X33" s="56">
        <f>SUMIF('Human Resources'!$H$3:$H$105,DASHBOARD!W33,'Human Resources'!$I$3:$I$105)</f>
        <v>20</v>
      </c>
      <c r="Y33" s="57">
        <f>X33/COUNTIF('Human Resources'!$H$3:$H$105,DASHBOARD!W33)</f>
        <v>2.2222222222222223</v>
      </c>
    </row>
    <row r="34" spans="1:25" ht="15" customHeight="1">
      <c r="B34" s="50">
        <f t="shared" si="11"/>
        <v>8</v>
      </c>
      <c r="C34" s="51" t="s">
        <v>27</v>
      </c>
      <c r="D34" s="51">
        <f>COUNTIF('Human Resources'!$H$4:$H$105,DASHBOARD!C34)</f>
        <v>14</v>
      </c>
      <c r="E34" s="51">
        <f>COUNTIFS('Human Resources'!$H$4:$H$105,DASHBOARD!C34,'Human Resources'!$J$4:$J$105,1)</f>
        <v>5</v>
      </c>
      <c r="F34" s="51">
        <f>COUNTIFS('Human Resources'!$H$4:$H$105,DASHBOARD!C34,'Human Resources'!$J$4:$J$105,5)</f>
        <v>2</v>
      </c>
      <c r="G34" s="51">
        <f>SUMIF('Human Resources'!$H$4:$H$105,DASHBOARD!C34,'Human Resources'!$I$4:$I$105)</f>
        <v>47</v>
      </c>
      <c r="H34" s="52">
        <f t="shared" si="8"/>
        <v>3.3571428571428572</v>
      </c>
      <c r="I34" s="53">
        <f t="array" ref="I34">MIN(IF('Human Resources'!$H$4:$H$105=C34,'Human Resources'!$E$4:$E$105))</f>
        <v>32000</v>
      </c>
      <c r="J34" s="53">
        <f t="array" ref="J34">MAX(IF('Human Resources'!$H$4:$H$105=C34,'Human Resources'!$E$4:$E$105))</f>
        <v>123000</v>
      </c>
      <c r="K34" s="53">
        <f t="shared" si="9"/>
        <v>66071.428571428565</v>
      </c>
      <c r="L34" s="53">
        <f>SUMIF('Human Resources'!$H$4:$H$105,DASHBOARD!C34,'Human Resources'!$E$4:$E$105)</f>
        <v>925000</v>
      </c>
      <c r="M34" s="54">
        <f>SUMIF('Human Resources'!$H$3:$H$105,DASHBOARD!C34,'Human Resources'!$G$3:$G$105)</f>
        <v>28820</v>
      </c>
      <c r="S34" s="78"/>
      <c r="V34" s="63">
        <f t="shared" si="10"/>
        <v>9</v>
      </c>
      <c r="W34" s="64" t="s">
        <v>30</v>
      </c>
      <c r="X34" s="64">
        <f>SUMIF('Human Resources'!$H$3:$H$105,DASHBOARD!W34,'Human Resources'!$I$3:$I$105)</f>
        <v>17</v>
      </c>
      <c r="Y34" s="65">
        <f>X34/COUNTIF('Human Resources'!$H$3:$H$105,DASHBOARD!W34)</f>
        <v>3.4</v>
      </c>
    </row>
    <row r="35" spans="1:25" ht="15" customHeight="1">
      <c r="B35" s="58">
        <f t="shared" si="11"/>
        <v>9</v>
      </c>
      <c r="C35" s="59" t="s">
        <v>43</v>
      </c>
      <c r="D35" s="59">
        <f>COUNTIF('Human Resources'!$H$4:$H$105,DASHBOARD!C35)</f>
        <v>13</v>
      </c>
      <c r="E35" s="59">
        <f>COUNTIFS('Human Resources'!$H$4:$H$105,DASHBOARD!C35,'Human Resources'!$J$4:$J$105,1)</f>
        <v>1</v>
      </c>
      <c r="F35" s="59">
        <f>COUNTIFS('Human Resources'!$H$4:$H$105,DASHBOARD!C35,'Human Resources'!$J$4:$J$105,5)</f>
        <v>7</v>
      </c>
      <c r="G35" s="59">
        <f>SUMIF('Human Resources'!$H$4:$H$105,DASHBOARD!C35,'Human Resources'!$I$4:$I$105)</f>
        <v>51</v>
      </c>
      <c r="H35" s="60">
        <f t="shared" si="8"/>
        <v>3.9230769230769229</v>
      </c>
      <c r="I35" s="61">
        <f t="array" ref="I35">MIN(IF('Human Resources'!$H$4:$H$105=C35,'Human Resources'!$E$4:$E$105))</f>
        <v>39000</v>
      </c>
      <c r="J35" s="61">
        <f t="array" ref="J35">MAX(IF('Human Resources'!$H$4:$H$105=C35,'Human Resources'!$E$4:$E$105))</f>
        <v>87000</v>
      </c>
      <c r="K35" s="61">
        <f t="shared" si="9"/>
        <v>64692.307692307695</v>
      </c>
      <c r="L35" s="61">
        <f>SUMIF('Human Resources'!$H$4:$H$105,DASHBOARD!C35,'Human Resources'!$E$4:$E$105)</f>
        <v>841000</v>
      </c>
      <c r="M35" s="62">
        <f>SUMIF('Human Resources'!$H$3:$H$105,DASHBOARD!C35,'Human Resources'!$G$3:$G$105)</f>
        <v>780</v>
      </c>
      <c r="S35" s="78"/>
    </row>
    <row r="36" spans="1:25" ht="9.75" customHeight="1">
      <c r="S36" s="78"/>
    </row>
    <row r="37" spans="1:25" ht="7.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5" ht="15" hidden="1" customHeight="1"/>
    <row r="39" spans="1:25" ht="15" hidden="1" customHeight="1" thickBot="1"/>
    <row r="40" spans="1:25" ht="15" hidden="1" customHeight="1" thickTop="1" thickBot="1">
      <c r="U40" s="37">
        <f>U24+1</f>
        <v>3</v>
      </c>
      <c r="V40" s="38" t="s">
        <v>131</v>
      </c>
    </row>
    <row r="41" spans="1:25" ht="15" hidden="1" customHeight="1" thickTop="1">
      <c r="V41" s="75" t="s">
        <v>127</v>
      </c>
      <c r="W41" s="76" t="s">
        <v>138</v>
      </c>
      <c r="X41" s="76" t="s">
        <v>139</v>
      </c>
      <c r="Y41" s="77" t="s">
        <v>140</v>
      </c>
    </row>
    <row r="42" spans="1:25" ht="15" hidden="1" customHeight="1">
      <c r="V42" s="41">
        <v>1</v>
      </c>
      <c r="W42" s="66" t="str">
        <f t="array" ref="W42">INDEX('Human Resources'!$C$4:$C$105,MATCH(LARGE(('Human Resources'!$I$4:$I$105+(ROW('Human Resources'!$I$4:$I$105)/100000)),DASHBOARD!V42),('Human Resources'!$I$4:$I$105+(ROW('Human Resources'!$I$4:$I$105)/100000)),0),1)</f>
        <v>Stone Bush</v>
      </c>
      <c r="X42" s="66">
        <f>VLOOKUP(W42,'Human Resources'!$C$3:$I$105,7,0)</f>
        <v>6</v>
      </c>
      <c r="Y42" s="67">
        <f>AVERAGEIF('Human Resources'!$H$4:$H$105,VLOOKUP(W42,'Human Resources'!$C$3:$H$105,6,0),'Human Resources'!$I$4:$I$105)</f>
        <v>3.9230769230769229</v>
      </c>
    </row>
    <row r="43" spans="1:25" ht="15" hidden="1" customHeight="1">
      <c r="V43" s="41">
        <f>V42+1</f>
        <v>2</v>
      </c>
      <c r="W43" s="66" t="str">
        <f t="array" ref="W43">INDEX('Human Resources'!$C$4:$C$105,MATCH(LARGE(('Human Resources'!$I$4:$I$105+(ROW('Human Resources'!$I$4:$I$105)/100000)),DASHBOARD!V43),('Human Resources'!$I$4:$I$105+(ROW('Human Resources'!$I$4:$I$105)/100000)),0),1)</f>
        <v>Griffith Nielsen</v>
      </c>
      <c r="X43" s="66">
        <f>VLOOKUP(W43,'Human Resources'!$C$3:$I$105,7,0)</f>
        <v>6</v>
      </c>
      <c r="Y43" s="67">
        <f>AVERAGEIF('Human Resources'!$H$4:$H$105,VLOOKUP(W43,'Human Resources'!$C$3:$H$105,6,0),'Human Resources'!$I$4:$I$105)</f>
        <v>3.3571428571428572</v>
      </c>
    </row>
    <row r="44" spans="1:25" ht="15" hidden="1" customHeight="1">
      <c r="V44" s="41">
        <f t="shared" ref="V44:V53" si="12">V43+1</f>
        <v>3</v>
      </c>
      <c r="W44" s="66" t="str">
        <f t="array" ref="W44">INDEX('Human Resources'!$C$4:$C$105,MATCH(LARGE(('Human Resources'!$I$4:$I$105+(ROW('Human Resources'!$I$4:$I$105)/100000)),DASHBOARD!V44),('Human Resources'!$I$4:$I$105+(ROW('Human Resources'!$I$4:$I$105)/100000)),0),1)</f>
        <v>Geoffrey Small</v>
      </c>
      <c r="X44" s="66">
        <f>VLOOKUP(W44,'Human Resources'!$C$3:$I$105,7,0)</f>
        <v>6</v>
      </c>
      <c r="Y44" s="67">
        <f>AVERAGEIF('Human Resources'!$H$4:$H$105,VLOOKUP(W44,'Human Resources'!$C$3:$H$105,6,0),'Human Resources'!$I$4:$I$105)</f>
        <v>3</v>
      </c>
    </row>
    <row r="45" spans="1:25" ht="15" hidden="1" customHeight="1">
      <c r="V45" s="41">
        <f t="shared" si="12"/>
        <v>4</v>
      </c>
      <c r="W45" s="66" t="str">
        <f t="array" ref="W45">INDEX('Human Resources'!$C$4:$C$105,MATCH(LARGE(('Human Resources'!$I$4:$I$105+(ROW('Human Resources'!$I$4:$I$105)/100000)),DASHBOARD!V45),('Human Resources'!$I$4:$I$105+(ROW('Human Resources'!$I$4:$I$105)/100000)),0),1)</f>
        <v>Emerson Sellers</v>
      </c>
      <c r="X45" s="66">
        <f>VLOOKUP(W45,'Human Resources'!$C$3:$I$105,7,0)</f>
        <v>6</v>
      </c>
      <c r="Y45" s="67">
        <f>AVERAGEIF('Human Resources'!$H$4:$H$105,VLOOKUP(W45,'Human Resources'!$C$3:$H$105,6,0),'Human Resources'!$I$4:$I$105)</f>
        <v>3.6363636363636362</v>
      </c>
    </row>
    <row r="46" spans="1:25" ht="15" hidden="1" customHeight="1">
      <c r="V46" s="41">
        <f t="shared" si="12"/>
        <v>5</v>
      </c>
      <c r="W46" s="66" t="str">
        <f t="array" ref="W46">INDEX('Human Resources'!$C$4:$C$105,MATCH(LARGE(('Human Resources'!$I$4:$I$105+(ROW('Human Resources'!$I$4:$I$105)/100000)),DASHBOARD!V46),('Human Resources'!$I$4:$I$105+(ROW('Human Resources'!$I$4:$I$105)/100000)),0),1)</f>
        <v>Barry Mccarthy</v>
      </c>
      <c r="X46" s="66">
        <f>VLOOKUP(W46,'Human Resources'!$C$3:$I$105,7,0)</f>
        <v>6</v>
      </c>
      <c r="Y46" s="67">
        <f>AVERAGEIF('Human Resources'!$H$4:$H$105,VLOOKUP(W46,'Human Resources'!$C$3:$H$105,6,0),'Human Resources'!$I$4:$I$105)</f>
        <v>3.3571428571428572</v>
      </c>
    </row>
    <row r="47" spans="1:25" ht="15" hidden="1" customHeight="1">
      <c r="V47" s="41">
        <f t="shared" si="12"/>
        <v>6</v>
      </c>
      <c r="W47" s="66" t="str">
        <f t="array" ref="W47">INDEX('Human Resources'!$C$4:$C$105,MATCH(LARGE(('Human Resources'!$I$4:$I$105+(ROW('Human Resources'!$I$4:$I$105)/100000)),DASHBOARD!V47),('Human Resources'!$I$4:$I$105+(ROW('Human Resources'!$I$4:$I$105)/100000)),0),1)</f>
        <v>Aidan Tyler</v>
      </c>
      <c r="X47" s="66">
        <f>VLOOKUP(W47,'Human Resources'!$C$3:$I$105,7,0)</f>
        <v>6</v>
      </c>
      <c r="Y47" s="67">
        <f>AVERAGEIF('Human Resources'!$H$4:$H$105,VLOOKUP(W47,'Human Resources'!$C$3:$H$105,6,0),'Human Resources'!$I$4:$I$105)</f>
        <v>3</v>
      </c>
    </row>
    <row r="48" spans="1:25" ht="15" hidden="1" customHeight="1">
      <c r="V48" s="41">
        <f t="shared" si="12"/>
        <v>7</v>
      </c>
      <c r="W48" s="66" t="str">
        <f t="array" ref="W48">INDEX('Human Resources'!$C$4:$C$105,MATCH(LARGE(('Human Resources'!$I$4:$I$105+(ROW('Human Resources'!$I$4:$I$105)/100000)),DASHBOARD!V48),('Human Resources'!$I$4:$I$105+(ROW('Human Resources'!$I$4:$I$105)/100000)),0),1)</f>
        <v>Patrick Hawkins</v>
      </c>
      <c r="X48" s="66">
        <f>VLOOKUP(W48,'Human Resources'!$C$3:$I$105,7,0)</f>
        <v>6</v>
      </c>
      <c r="Y48" s="67">
        <f>AVERAGEIF('Human Resources'!$H$4:$H$105,VLOOKUP(W48,'Human Resources'!$C$3:$H$105,6,0),'Human Resources'!$I$4:$I$105)</f>
        <v>3.8</v>
      </c>
    </row>
    <row r="49" spans="21:25" ht="15" hidden="1" customHeight="1">
      <c r="V49" s="41">
        <f t="shared" si="12"/>
        <v>8</v>
      </c>
      <c r="W49" s="66" t="str">
        <f t="array" ref="W49">INDEX('Human Resources'!$C$4:$C$105,MATCH(LARGE(('Human Resources'!$I$4:$I$105+(ROW('Human Resources'!$I$4:$I$105)/100000)),DASHBOARD!V49),('Human Resources'!$I$4:$I$105+(ROW('Human Resources'!$I$4:$I$105)/100000)),0),1)</f>
        <v>Wayne Golden</v>
      </c>
      <c r="X49" s="66">
        <f>VLOOKUP(W49,'Human Resources'!$C$3:$I$105,7,0)</f>
        <v>6</v>
      </c>
      <c r="Y49" s="67">
        <f>AVERAGEIF('Human Resources'!$H$4:$H$105,VLOOKUP(W49,'Human Resources'!$C$3:$H$105,6,0),'Human Resources'!$I$4:$I$105)</f>
        <v>3.6363636363636362</v>
      </c>
    </row>
    <row r="50" spans="21:25" ht="15" hidden="1" customHeight="1">
      <c r="V50" s="41">
        <f t="shared" si="12"/>
        <v>9</v>
      </c>
      <c r="W50" s="66" t="str">
        <f t="array" ref="W50">INDEX('Human Resources'!$C$4:$C$105,MATCH(LARGE(('Human Resources'!$I$4:$I$105+(ROW('Human Resources'!$I$4:$I$105)/100000)),DASHBOARD!V50),('Human Resources'!$I$4:$I$105+(ROW('Human Resources'!$I$4:$I$105)/100000)),0),1)</f>
        <v>Kuame Griffith</v>
      </c>
      <c r="X50" s="66">
        <f>VLOOKUP(W50,'Human Resources'!$C$3:$I$105,7,0)</f>
        <v>6</v>
      </c>
      <c r="Y50" s="67">
        <f>AVERAGEIF('Human Resources'!$H$4:$H$105,VLOOKUP(W50,'Human Resources'!$C$3:$H$105,6,0),'Human Resources'!$I$4:$I$105)</f>
        <v>3.3571428571428572</v>
      </c>
    </row>
    <row r="51" spans="21:25" ht="15" hidden="1" customHeight="1">
      <c r="V51" s="41">
        <f t="shared" si="12"/>
        <v>10</v>
      </c>
      <c r="W51" s="66" t="str">
        <f t="array" ref="W51">INDEX('Human Resources'!$C$4:$C$105,MATCH(LARGE(('Human Resources'!$I$4:$I$105+(ROW('Human Resources'!$I$4:$I$105)/100000)),DASHBOARD!V51),('Human Resources'!$I$4:$I$105+(ROW('Human Resources'!$I$4:$I$105)/100000)),0),1)</f>
        <v>Bernard Wilkinson</v>
      </c>
      <c r="X51" s="66">
        <f>VLOOKUP(W51,'Human Resources'!$C$3:$I$105,7,0)</f>
        <v>6</v>
      </c>
      <c r="Y51" s="67">
        <f>AVERAGEIF('Human Resources'!$H$4:$H$105,VLOOKUP(W51,'Human Resources'!$C$3:$H$105,6,0),'Human Resources'!$I$4:$I$105)</f>
        <v>3.9230769230769229</v>
      </c>
    </row>
    <row r="52" spans="21:25" ht="15" hidden="1" customHeight="1">
      <c r="V52" s="41">
        <f t="shared" si="12"/>
        <v>11</v>
      </c>
      <c r="W52" s="66" t="str">
        <f t="array" ref="W52">INDEX('Human Resources'!$C$4:$C$105,MATCH(LARGE(('Human Resources'!$I$4:$I$105+(ROW('Human Resources'!$I$4:$I$105)/100000)),DASHBOARD!V52),('Human Resources'!$I$4:$I$105+(ROW('Human Resources'!$I$4:$I$105)/100000)),0),1)</f>
        <v>Jerry Goodwin</v>
      </c>
      <c r="X52" s="66">
        <f>VLOOKUP(W52,'Human Resources'!$C$3:$I$105,7,0)</f>
        <v>6</v>
      </c>
      <c r="Y52" s="67">
        <f>AVERAGEIF('Human Resources'!$H$4:$H$105,VLOOKUP(W52,'Human Resources'!$C$3:$H$105,6,0),'Human Resources'!$I$4:$I$105)</f>
        <v>3.4</v>
      </c>
    </row>
    <row r="53" spans="21:25" ht="15" hidden="1" customHeight="1">
      <c r="V53" s="44">
        <f t="shared" si="12"/>
        <v>12</v>
      </c>
      <c r="W53" s="68" t="str">
        <f t="array" ref="W53">INDEX('Human Resources'!$C$4:$C$105,MATCH(LARGE(('Human Resources'!$I$4:$I$105+(ROW('Human Resources'!$I$4:$I$105)/100000)),DASHBOARD!V53),('Human Resources'!$I$4:$I$105+(ROW('Human Resources'!$I$4:$I$105)/100000)),0),1)</f>
        <v>Marvin Velasquez</v>
      </c>
      <c r="X53" s="68">
        <f>VLOOKUP(W53,'Human Resources'!$C$3:$I$105,7,0)</f>
        <v>6</v>
      </c>
      <c r="Y53" s="69">
        <f>AVERAGEIF('Human Resources'!$H$4:$H$105,VLOOKUP(W53,'Human Resources'!$C$3:$H$105,6,0),'Human Resources'!$I$4:$I$105)</f>
        <v>3.6153846153846154</v>
      </c>
    </row>
    <row r="54" spans="21:25" ht="15" hidden="1" customHeight="1"/>
    <row r="55" spans="21:25" ht="15" hidden="1" customHeight="1" thickBot="1"/>
    <row r="56" spans="21:25" ht="15" hidden="1" customHeight="1" thickTop="1" thickBot="1">
      <c r="U56" s="37">
        <f>U40+1</f>
        <v>4</v>
      </c>
      <c r="V56" s="38" t="s">
        <v>132</v>
      </c>
    </row>
    <row r="57" spans="21:25" ht="15" hidden="1" customHeight="1" thickTop="1">
      <c r="V57" s="75" t="s">
        <v>127</v>
      </c>
      <c r="W57" s="76" t="s">
        <v>141</v>
      </c>
      <c r="X57" s="76" t="s">
        <v>142</v>
      </c>
      <c r="Y57" s="77" t="s">
        <v>143</v>
      </c>
    </row>
    <row r="58" spans="21:25" ht="15" hidden="1" customHeight="1">
      <c r="V58" s="41">
        <v>1</v>
      </c>
      <c r="W58" s="66" t="str">
        <f>INDEX('Human Resources'!$C$4:$C$105,MATCH(DASHBOARD!V58,'Human Resources'!$R$4:$R$105,0),1)</f>
        <v>Asher Benson</v>
      </c>
      <c r="X58" s="66">
        <f>VLOOKUP(W58,'Human Resources'!$C:$J,8,0)</f>
        <v>5</v>
      </c>
      <c r="Y58" s="67">
        <f>AVERAGEIF('Human Resources'!$H$4:$H$105,VLOOKUP(W58,'Human Resources'!C:H,6,0),'Human Resources'!$J$4:$J$105)</f>
        <v>3.6</v>
      </c>
    </row>
    <row r="59" spans="21:25" ht="15" hidden="1" customHeight="1">
      <c r="V59" s="41">
        <f>V58+1</f>
        <v>2</v>
      </c>
      <c r="W59" s="66" t="str">
        <f>INDEX('Human Resources'!$C$4:$C$105,MATCH(DASHBOARD!V59,'Human Resources'!$R$4:$R$105,0),1)</f>
        <v>Oscar Emerson</v>
      </c>
      <c r="X59" s="66">
        <f>VLOOKUP(W59,'Human Resources'!$C:$J,8,0)</f>
        <v>5</v>
      </c>
      <c r="Y59" s="67">
        <f>AVERAGEIF('Human Resources'!$H$4:$H$105,VLOOKUP(W59,'Human Resources'!C:H,6,0),'Human Resources'!$J$4:$J$105)</f>
        <v>3.2</v>
      </c>
    </row>
    <row r="60" spans="21:25" ht="15" hidden="1" customHeight="1">
      <c r="V60" s="44">
        <f>V59+1</f>
        <v>3</v>
      </c>
      <c r="W60" s="68" t="str">
        <f>INDEX('Human Resources'!$C$4:$C$105,MATCH(DASHBOARD!V60,'Human Resources'!$R$4:$R$105,0),1)</f>
        <v>Clayton Riddle</v>
      </c>
      <c r="X60" s="68">
        <f>VLOOKUP(W60,'Human Resources'!$C:$J,8,0)</f>
        <v>5</v>
      </c>
      <c r="Y60" s="69">
        <f>AVERAGEIF('Human Resources'!$H$4:$H$105,VLOOKUP(W60,'Human Resources'!C:H,6,0),'Human Resources'!$J$4:$J$105)</f>
        <v>3.2</v>
      </c>
    </row>
    <row r="61" spans="21:25" ht="15" hidden="1" customHeight="1">
      <c r="V61" s="47"/>
      <c r="W61" s="48"/>
      <c r="X61" s="48"/>
      <c r="Y61" s="70"/>
    </row>
    <row r="62" spans="21:25" ht="15" hidden="1" customHeight="1">
      <c r="V62" s="47"/>
      <c r="W62" s="48"/>
      <c r="X62" s="48"/>
      <c r="Y62" s="70"/>
    </row>
    <row r="63" spans="21:25" ht="15" hidden="1" customHeight="1">
      <c r="V63" s="47"/>
      <c r="W63" s="48"/>
      <c r="X63" s="48"/>
      <c r="Y63" s="70"/>
    </row>
    <row r="64" spans="21:25" ht="15" hidden="1" customHeight="1">
      <c r="V64" s="47"/>
      <c r="W64" s="48"/>
      <c r="X64" s="48"/>
      <c r="Y64" s="70"/>
    </row>
    <row r="65" spans="21:25" ht="15" hidden="1" customHeight="1"/>
    <row r="66" spans="21:25" ht="15" hidden="1" customHeight="1"/>
    <row r="67" spans="21:25" ht="15" hidden="1" customHeight="1"/>
    <row r="68" spans="21:25" ht="15" hidden="1" customHeight="1"/>
    <row r="69" spans="21:25" ht="15" hidden="1" customHeight="1"/>
    <row r="70" spans="21:25" ht="15" hidden="1" customHeight="1" thickBot="1"/>
    <row r="71" spans="21:25" ht="15" hidden="1" customHeight="1" thickTop="1" thickBot="1">
      <c r="U71" s="37">
        <f>U56+1</f>
        <v>5</v>
      </c>
      <c r="V71" s="38" t="s">
        <v>133</v>
      </c>
    </row>
    <row r="72" spans="21:25" ht="15" hidden="1" customHeight="1" thickTop="1">
      <c r="V72" s="75" t="s">
        <v>127</v>
      </c>
      <c r="W72" s="76" t="s">
        <v>141</v>
      </c>
      <c r="X72" s="76" t="s">
        <v>142</v>
      </c>
      <c r="Y72" s="77" t="s">
        <v>143</v>
      </c>
    </row>
    <row r="73" spans="21:25" ht="15" hidden="1" customHeight="1">
      <c r="V73" s="41">
        <v>1</v>
      </c>
      <c r="W73" s="66" t="str">
        <f>INDEX('Human Resources'!$C$4:$C$105,MATCH(DASHBOARD!V73,'Human Resources'!$S$4:$S$105,0),1)</f>
        <v>Wayne Golden</v>
      </c>
      <c r="X73" s="66">
        <f>VLOOKUP(W73,'Human Resources'!$C:$J,8,0)</f>
        <v>1</v>
      </c>
      <c r="Y73" s="67">
        <f>AVERAGEIF('Human Resources'!$H$4:$H$105,VLOOKUP(W73,'Human Resources'!C:H,6,0),'Human Resources'!$J$4:$J$105)</f>
        <v>2.4545454545454546</v>
      </c>
    </row>
    <row r="74" spans="21:25" ht="15" hidden="1" customHeight="1">
      <c r="V74" s="41">
        <f>V73+1</f>
        <v>2</v>
      </c>
      <c r="W74" s="66" t="str">
        <f>INDEX('Human Resources'!$C$4:$C$105,MATCH(DASHBOARD!V74,'Human Resources'!$S$4:$S$105,0),1)</f>
        <v>Noah Rowland</v>
      </c>
      <c r="X74" s="66">
        <f>VLOOKUP(W74,'Human Resources'!$C:$J,8,0)</f>
        <v>1</v>
      </c>
      <c r="Y74" s="67">
        <f>AVERAGEIF('Human Resources'!$H$4:$H$105,VLOOKUP(W74,'Human Resources'!C:H,6,0),'Human Resources'!$J$4:$J$105)</f>
        <v>3.1</v>
      </c>
    </row>
    <row r="75" spans="21:25" ht="15" hidden="1" customHeight="1">
      <c r="V75" s="44">
        <f>V74+1</f>
        <v>3</v>
      </c>
      <c r="W75" s="68" t="str">
        <f>INDEX('Human Resources'!$C$4:$C$105,MATCH(DASHBOARD!V75,'Human Resources'!$S$4:$S$105,0),1)</f>
        <v>Hyatt Rogers</v>
      </c>
      <c r="X75" s="68">
        <f>VLOOKUP(W75,'Human Resources'!$C:$J,8,0)</f>
        <v>1</v>
      </c>
      <c r="Y75" s="69">
        <f>AVERAGEIF('Human Resources'!$H$4:$H$105,VLOOKUP(W75,'Human Resources'!C:H,6,0),'Human Resources'!$J$4:$J$105)</f>
        <v>2.3571428571428572</v>
      </c>
    </row>
    <row r="76" spans="21:25" ht="15" hidden="1" customHeight="1">
      <c r="V76" s="47"/>
      <c r="W76" s="48"/>
      <c r="X76" s="48"/>
      <c r="Y76" s="70"/>
    </row>
    <row r="77" spans="21:25" ht="15" hidden="1" customHeight="1">
      <c r="V77" s="47"/>
      <c r="W77" s="48"/>
      <c r="X77" s="48"/>
      <c r="Y77" s="70"/>
    </row>
    <row r="78" spans="21:25" ht="15" hidden="1" customHeight="1">
      <c r="V78" s="47"/>
      <c r="W78" s="48"/>
      <c r="X78" s="48"/>
      <c r="Y78" s="70"/>
    </row>
    <row r="79" spans="21:25" ht="15" hidden="1" customHeight="1">
      <c r="V79" s="47"/>
      <c r="W79" s="48"/>
      <c r="X79" s="48"/>
      <c r="Y79" s="70"/>
    </row>
    <row r="80" spans="21:25" ht="15" hidden="1" customHeight="1"/>
    <row r="81" spans="21:25" ht="15" hidden="1" customHeight="1"/>
    <row r="82" spans="21:25" ht="15" hidden="1" customHeight="1"/>
    <row r="83" spans="21:25" ht="15" hidden="1" customHeight="1"/>
    <row r="84" spans="21:25" ht="15" hidden="1" customHeight="1"/>
    <row r="85" spans="21:25" ht="15" hidden="1" customHeight="1"/>
    <row r="86" spans="21:25" ht="15" hidden="1" customHeight="1" thickBot="1"/>
    <row r="87" spans="21:25" ht="15" hidden="1" customHeight="1" thickTop="1" thickBot="1">
      <c r="U87" s="37">
        <f>U71+1</f>
        <v>6</v>
      </c>
      <c r="V87" s="38" t="s">
        <v>134</v>
      </c>
    </row>
    <row r="88" spans="21:25" ht="15" hidden="1" customHeight="1" thickTop="1">
      <c r="V88" s="75" t="s">
        <v>127</v>
      </c>
      <c r="W88" s="76" t="s">
        <v>141</v>
      </c>
      <c r="X88" s="76" t="s">
        <v>144</v>
      </c>
      <c r="Y88" s="77" t="s">
        <v>145</v>
      </c>
    </row>
    <row r="89" spans="21:25" ht="15" hidden="1" customHeight="1">
      <c r="V89" s="41">
        <v>1</v>
      </c>
      <c r="W89" s="66" t="str">
        <f>INDEX('Human Resources'!$C$4:$C$105,MATCH(DASHBOARD!V89,'Human Resources'!$T$4:$T$105,0),1)</f>
        <v>Marvin Moses</v>
      </c>
      <c r="X89" s="66">
        <f>VLOOKUP(W89,'Human Resources'!$C:$J,5,0)</f>
        <v>5180</v>
      </c>
      <c r="Y89" s="42">
        <f>AVERAGEIF('Human Resources'!$H$4:$H$105,VLOOKUP(W89,'Human Resources'!C:H,6,0),'Human Resources'!$G$4:$G$105)</f>
        <v>3132.3076923076924</v>
      </c>
    </row>
    <row r="90" spans="21:25" ht="15" hidden="1" customHeight="1">
      <c r="V90" s="41">
        <f>V89+1</f>
        <v>2</v>
      </c>
      <c r="W90" s="66" t="str">
        <f>INDEX('Human Resources'!$C$4:$C$105,MATCH(DASHBOARD!V90,'Human Resources'!$T$4:$T$105,0),1)</f>
        <v>Hyatt Rogers</v>
      </c>
      <c r="X90" s="66">
        <f>VLOOKUP(W90,'Human Resources'!$C:$J,5,0)</f>
        <v>6540</v>
      </c>
      <c r="Y90" s="42">
        <f>AVERAGEIF('Human Resources'!$H$4:$H$105,VLOOKUP(W90,'Human Resources'!C:H,6,0),'Human Resources'!$G$4:$G$105)</f>
        <v>2058.5714285714284</v>
      </c>
    </row>
    <row r="91" spans="21:25" ht="15" hidden="1" customHeight="1">
      <c r="V91" s="41">
        <f>V90+1</f>
        <v>3</v>
      </c>
      <c r="W91" s="66" t="str">
        <f>INDEX('Human Resources'!$C$4:$C$105,MATCH(DASHBOARD!V91,'Human Resources'!$T$4:$T$105,0),1)</f>
        <v>Geoffrey Small</v>
      </c>
      <c r="X91" s="66">
        <f>VLOOKUP(W91,'Human Resources'!$C:$J,5,0)</f>
        <v>5170.0000000000009</v>
      </c>
      <c r="Y91" s="42">
        <f>AVERAGEIF('Human Resources'!$H$4:$H$105,VLOOKUP(W91,'Human Resources'!C:H,6,0),'Human Resources'!$G$4:$G$105)</f>
        <v>938</v>
      </c>
    </row>
    <row r="92" spans="21:25" ht="15" hidden="1" customHeight="1">
      <c r="V92" s="41">
        <f>V91+1</f>
        <v>4</v>
      </c>
      <c r="W92" s="66" t="str">
        <f>INDEX('Human Resources'!$C$4:$C$105,MATCH(DASHBOARD!V92,'Human Resources'!$T$4:$T$105,0),1)</f>
        <v>Darius Sandoval</v>
      </c>
      <c r="X92" s="66">
        <f>VLOOKUP(W92,'Human Resources'!$C:$J,5,0)</f>
        <v>7020</v>
      </c>
      <c r="Y92" s="42">
        <f>AVERAGEIF('Human Resources'!$H$4:$H$105,VLOOKUP(W92,'Human Resources'!C:H,6,0),'Human Resources'!$G$4:$G$105)</f>
        <v>1670.909090909091</v>
      </c>
    </row>
    <row r="93" spans="21:25" ht="15" hidden="1" customHeight="1">
      <c r="V93" s="44">
        <f>V92+1</f>
        <v>5</v>
      </c>
      <c r="W93" s="68" t="str">
        <f>INDEX('Human Resources'!$C$4:$C$105,MATCH(DASHBOARD!V93,'Human Resources'!$T$4:$T$105,0),1)</f>
        <v>Kenyon Petersen</v>
      </c>
      <c r="X93" s="68">
        <f>VLOOKUP(W93,'Human Resources'!$C:$J,5,0)</f>
        <v>7740</v>
      </c>
      <c r="Y93" s="46">
        <f>AVERAGEIF('Human Resources'!$H$4:$H$105,VLOOKUP(W93,'Human Resources'!C:H,6,0),'Human Resources'!$G$4:$G$105)</f>
        <v>2640</v>
      </c>
    </row>
    <row r="94" spans="21:25" ht="15" hidden="1" customHeight="1">
      <c r="V94" s="47"/>
      <c r="W94" s="48"/>
      <c r="X94" s="48"/>
      <c r="Y94" s="70"/>
    </row>
    <row r="95" spans="21:25" ht="15" hidden="1" customHeight="1">
      <c r="V95" s="47"/>
      <c r="W95" s="48"/>
      <c r="X95" s="48"/>
      <c r="Y95" s="70"/>
    </row>
    <row r="96" spans="21:25" ht="15" hidden="1" customHeight="1">
      <c r="V96" s="47"/>
      <c r="W96" s="48"/>
      <c r="X96" s="48"/>
      <c r="Y96" s="70"/>
    </row>
    <row r="97" spans="21:25" ht="15" hidden="1" customHeight="1">
      <c r="V97" s="47"/>
      <c r="W97" s="48"/>
      <c r="X97" s="48"/>
      <c r="Y97" s="70"/>
    </row>
    <row r="98" spans="21:25" ht="15" hidden="1" customHeight="1"/>
    <row r="99" spans="21:25" ht="15" hidden="1" customHeight="1"/>
    <row r="100" spans="21:25" ht="15" hidden="1" customHeight="1"/>
    <row r="101" spans="21:25" ht="15" hidden="1" customHeight="1"/>
    <row r="102" spans="21:25" ht="15" hidden="1" customHeight="1"/>
    <row r="103" spans="21:25" ht="15" hidden="1" customHeight="1">
      <c r="V103" s="47"/>
      <c r="W103" s="48"/>
      <c r="X103" s="48"/>
      <c r="Y103" s="48"/>
    </row>
    <row r="104" spans="21:25" ht="15" hidden="1" customHeight="1"/>
    <row r="105" spans="21:25" ht="15" hidden="1" customHeight="1" thickBot="1"/>
    <row r="106" spans="21:25" ht="15" hidden="1" customHeight="1" thickTop="1" thickBot="1">
      <c r="U106" s="37">
        <f>U87+1</f>
        <v>7</v>
      </c>
      <c r="V106" s="38" t="s">
        <v>135</v>
      </c>
    </row>
    <row r="107" spans="21:25" ht="15" hidden="1" customHeight="1" thickTop="1">
      <c r="V107" s="75" t="s">
        <v>127</v>
      </c>
      <c r="W107" s="76" t="s">
        <v>8</v>
      </c>
      <c r="X107" s="76" t="s">
        <v>146</v>
      </c>
      <c r="Y107" s="77" t="s">
        <v>147</v>
      </c>
    </row>
    <row r="108" spans="21:25" ht="15" hidden="1" customHeight="1">
      <c r="V108" s="41">
        <v>1</v>
      </c>
      <c r="W108" s="21" t="s">
        <v>43</v>
      </c>
      <c r="X108" s="21">
        <f t="array" ref="X108">MAX(IF('Human Resources'!$H$4:$H$105=DASHBOARD!W108,'Human Resources'!$E$4:$E$105))</f>
        <v>87000</v>
      </c>
      <c r="Y108" s="42">
        <f>AVERAGEIF('Human Resources'!$H$4:$H$105,DASHBOARD!W108,'Human Resources'!$E$4:$E$105)</f>
        <v>64692.307692307695</v>
      </c>
    </row>
    <row r="109" spans="21:25" ht="15" hidden="1" customHeight="1">
      <c r="V109" s="41">
        <f>V108+1</f>
        <v>2</v>
      </c>
      <c r="W109" s="21" t="s">
        <v>39</v>
      </c>
      <c r="X109" s="21">
        <f t="array" ref="X109">MAX(IF('Human Resources'!$H$4:$H$105=DASHBOARD!W109,'Human Resources'!$E$4:$E$105))</f>
        <v>89000</v>
      </c>
      <c r="Y109" s="42">
        <f>AVERAGEIF('Human Resources'!$H$4:$H$105,DASHBOARD!W109,'Human Resources'!$E$4:$E$105)</f>
        <v>68133.333333333328</v>
      </c>
    </row>
    <row r="110" spans="21:25" ht="15" hidden="1" customHeight="1">
      <c r="V110" s="41">
        <f t="shared" ref="V110:V116" si="13">V109+1</f>
        <v>3</v>
      </c>
      <c r="W110" s="21" t="s">
        <v>27</v>
      </c>
      <c r="X110" s="21">
        <f t="array" ref="X110">MAX(IF('Human Resources'!$H$4:$H$105=DASHBOARD!W110,'Human Resources'!$E$4:$E$105))</f>
        <v>123000</v>
      </c>
      <c r="Y110" s="42">
        <f>AVERAGEIF('Human Resources'!$H$4:$H$105,DASHBOARD!W110,'Human Resources'!$E$4:$E$105)</f>
        <v>66071.428571428565</v>
      </c>
    </row>
    <row r="111" spans="21:25" ht="15" hidden="1" customHeight="1">
      <c r="V111" s="41">
        <f t="shared" si="13"/>
        <v>4</v>
      </c>
      <c r="W111" s="21" t="s">
        <v>19</v>
      </c>
      <c r="X111" s="21">
        <f t="array" ref="X111">MAX(IF('Human Resources'!$H$4:$H$105=DASHBOARD!W111,'Human Resources'!$E$4:$E$105))</f>
        <v>149000</v>
      </c>
      <c r="Y111" s="42">
        <f>AVERAGEIF('Human Resources'!$H$4:$H$105,DASHBOARD!W111,'Human Resources'!$E$4:$E$105)</f>
        <v>69538.461538461532</v>
      </c>
    </row>
    <row r="112" spans="21:25" ht="15" hidden="1" customHeight="1">
      <c r="V112" s="41">
        <f t="shared" si="13"/>
        <v>5</v>
      </c>
      <c r="W112" s="21" t="s">
        <v>24</v>
      </c>
      <c r="X112" s="21">
        <f t="array" ref="X112">MAX(IF('Human Resources'!$H$4:$H$105=DASHBOARD!W112,'Human Resources'!$E$4:$E$105))</f>
        <v>93000</v>
      </c>
      <c r="Y112" s="42">
        <f>AVERAGEIF('Human Resources'!$H$4:$H$105,DASHBOARD!W112,'Human Resources'!$E$4:$E$105)</f>
        <v>58000</v>
      </c>
    </row>
    <row r="113" spans="22:25" ht="15" hidden="1" customHeight="1">
      <c r="V113" s="41">
        <f t="shared" si="13"/>
        <v>6</v>
      </c>
      <c r="W113" s="21" t="s">
        <v>32</v>
      </c>
      <c r="X113" s="21">
        <f t="array" ref="X113">MAX(IF('Human Resources'!$H$4:$H$105=DASHBOARD!W113,'Human Resources'!$E$4:$E$105))</f>
        <v>78000</v>
      </c>
      <c r="Y113" s="42">
        <f>AVERAGEIF('Human Resources'!$H$4:$H$105,DASHBOARD!W113,'Human Resources'!$E$4:$E$105)</f>
        <v>57200</v>
      </c>
    </row>
    <row r="114" spans="22:25" ht="15" hidden="1" customHeight="1">
      <c r="V114" s="41">
        <f t="shared" si="13"/>
        <v>7</v>
      </c>
      <c r="W114" s="21" t="s">
        <v>17</v>
      </c>
      <c r="X114" s="21">
        <f t="array" ref="X114">MAX(IF('Human Resources'!$H$4:$H$105=DASHBOARD!W114,'Human Resources'!$E$4:$E$105))</f>
        <v>100000</v>
      </c>
      <c r="Y114" s="42">
        <f>AVERAGEIF('Human Resources'!$H$4:$H$105,DASHBOARD!W114,'Human Resources'!$E$4:$E$105)</f>
        <v>55400</v>
      </c>
    </row>
    <row r="115" spans="22:25" ht="15" hidden="1" customHeight="1">
      <c r="V115" s="41">
        <f t="shared" si="13"/>
        <v>8</v>
      </c>
      <c r="W115" s="21" t="s">
        <v>21</v>
      </c>
      <c r="X115" s="21">
        <f t="array" ref="X115">MAX(IF('Human Resources'!$H$4:$H$105=DASHBOARD!W115,'Human Resources'!$E$4:$E$105))</f>
        <v>98000</v>
      </c>
      <c r="Y115" s="42">
        <f>AVERAGEIF('Human Resources'!$H$4:$H$105,DASHBOARD!W115,'Human Resources'!$E$4:$E$105)</f>
        <v>57444.444444444445</v>
      </c>
    </row>
    <row r="116" spans="22:25" ht="15" hidden="1" customHeight="1">
      <c r="V116" s="44">
        <f t="shared" si="13"/>
        <v>9</v>
      </c>
      <c r="W116" s="45" t="s">
        <v>30</v>
      </c>
      <c r="X116" s="45">
        <f t="array" ref="X116">MAX(IF('Human Resources'!$H$4:$H$105=DASHBOARD!W116,'Human Resources'!$E$4:$E$105))</f>
        <v>91000</v>
      </c>
      <c r="Y116" s="46">
        <f>AVERAGEIF('Human Resources'!$H$4:$H$105,DASHBOARD!W116,'Human Resources'!$E$4:$E$105)</f>
        <v>63400</v>
      </c>
    </row>
    <row r="117" spans="22:25" ht="15" hidden="1" customHeight="1"/>
    <row r="118" spans="22:25" ht="15" hidden="1" customHeight="1"/>
    <row r="119" spans="22:25" ht="15" hidden="1" customHeight="1"/>
    <row r="120" spans="22:25" ht="15" hidden="1" customHeight="1"/>
    <row r="121" spans="22:25" ht="15" hidden="1" customHeight="1"/>
    <row r="122" spans="22:25" ht="15" hidden="1" customHeight="1"/>
    <row r="123" spans="22:25" ht="15" hidden="1" customHeight="1"/>
    <row r="124" spans="22:25" ht="15" hidden="1" customHeight="1"/>
    <row r="125" spans="22:25" ht="15" hidden="1" customHeight="1"/>
    <row r="126" spans="22:25" ht="15" hidden="1" customHeight="1"/>
    <row r="127" spans="22:25" ht="15" hidden="1" customHeight="1"/>
    <row r="128" spans="22:25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</sheetData>
  <mergeCells count="7">
    <mergeCell ref="I24:L24"/>
    <mergeCell ref="K1:S3"/>
    <mergeCell ref="B25:C25"/>
    <mergeCell ref="E24:F24"/>
    <mergeCell ref="G24:H24"/>
    <mergeCell ref="O5:P6"/>
    <mergeCell ref="A1:J3"/>
  </mergeCells>
  <conditionalFormatting sqref="O9:R20">
    <cfRule type="expression" dxfId="0" priority="1">
      <formula>$O9&gt;0</formula>
    </cfRule>
  </conditionalFormatting>
  <pageMargins left="0.25" right="0.25" top="0.25" bottom="0.25" header="0.25" footer="0.25"/>
  <pageSetup paperSize="5" scale="85" orientation="landscape" r:id="rId1"/>
  <headerFooter>
    <oddFooter>&amp;RCONFIDENTIAL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U105"/>
  <sheetViews>
    <sheetView showGridLines="0" showZeros="0" zoomScale="85" zoomScaleNormal="85" workbookViewId="0">
      <pane ySplit="3" topLeftCell="A4" activePane="bottomLeft" state="frozen"/>
      <selection activeCell="C1" sqref="C1:C1048576"/>
      <selection pane="bottomLeft" activeCell="A4" sqref="A4"/>
    </sheetView>
  </sheetViews>
  <sheetFormatPr defaultColWidth="8.140625" defaultRowHeight="12.75"/>
  <cols>
    <col min="1" max="1" width="8.140625" style="1"/>
    <col min="2" max="2" width="4.42578125" style="1" customWidth="1"/>
    <col min="3" max="3" width="19.85546875" style="1" bestFit="1" customWidth="1"/>
    <col min="4" max="4" width="13.140625" style="34" customWidth="1"/>
    <col min="5" max="7" width="13.140625" style="35" customWidth="1"/>
    <col min="8" max="8" width="18.28515625" style="1" bestFit="1" customWidth="1"/>
    <col min="9" max="9" width="13.140625" style="1" customWidth="1"/>
    <col min="10" max="10" width="20" style="1" customWidth="1"/>
    <col min="11" max="11" width="8.140625" style="1"/>
    <col min="12" max="12" width="9.5703125" style="1" bestFit="1" customWidth="1"/>
    <col min="13" max="15" width="8.140625" style="1"/>
    <col min="16" max="19" width="13.28515625" style="1" hidden="1" customWidth="1"/>
    <col min="20" max="20" width="26.42578125" style="1" hidden="1" customWidth="1"/>
    <col min="21" max="21" width="11.28515625" style="1" customWidth="1"/>
    <col min="22" max="16384" width="8.140625" style="1"/>
  </cols>
  <sheetData>
    <row r="2" spans="2:21">
      <c r="D2" s="2" t="s">
        <v>0</v>
      </c>
      <c r="E2" s="3">
        <f>SUM(E4:E105)</f>
        <v>6290000</v>
      </c>
      <c r="F2" s="4">
        <f>SUM(F4:F105)</f>
        <v>949140</v>
      </c>
      <c r="G2" s="4">
        <f>SUM(G4:G105)</f>
        <v>184080</v>
      </c>
      <c r="H2" s="5"/>
      <c r="I2" s="6">
        <f>SUM(I4:I105)</f>
        <v>337</v>
      </c>
      <c r="J2" s="7">
        <f>SUM(J4:J105)</f>
        <v>303</v>
      </c>
      <c r="L2" s="1">
        <f ca="1">SUM([0]!Second)</f>
        <v>0</v>
      </c>
      <c r="P2" s="112" t="s">
        <v>1</v>
      </c>
      <c r="Q2" s="113"/>
      <c r="R2" s="113"/>
      <c r="S2" s="113"/>
      <c r="T2" s="114"/>
    </row>
    <row r="3" spans="2:21" s="14" customFormat="1" ht="16.5" customHeight="1">
      <c r="B3" s="8" t="s">
        <v>2</v>
      </c>
      <c r="C3" s="8" t="s">
        <v>3</v>
      </c>
      <c r="D3" s="9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12" t="s">
        <v>9</v>
      </c>
      <c r="J3" s="13" t="s">
        <v>10</v>
      </c>
      <c r="P3" s="115" t="s">
        <v>11</v>
      </c>
      <c r="Q3" s="12" t="s">
        <v>12</v>
      </c>
      <c r="R3" s="12" t="s">
        <v>13</v>
      </c>
      <c r="S3" s="12" t="s">
        <v>14</v>
      </c>
      <c r="T3" s="116" t="s">
        <v>15</v>
      </c>
      <c r="U3" s="15"/>
    </row>
    <row r="4" spans="2:21">
      <c r="B4" s="16">
        <v>1</v>
      </c>
      <c r="C4" s="16" t="s">
        <v>16</v>
      </c>
      <c r="D4" s="17">
        <v>41978</v>
      </c>
      <c r="E4" s="18">
        <v>20000</v>
      </c>
      <c r="F4" s="18">
        <v>3130</v>
      </c>
      <c r="G4" s="18">
        <v>220</v>
      </c>
      <c r="H4" s="19" t="s">
        <v>17</v>
      </c>
      <c r="I4" s="19">
        <v>3</v>
      </c>
      <c r="J4" s="20">
        <v>4</v>
      </c>
      <c r="P4" s="117">
        <f>AVERAGEIF($H$4:$H$105,H4,$E$4:$E$105)</f>
        <v>55400</v>
      </c>
      <c r="Q4" s="21">
        <f>IF(J4=MAX($J$4:$J$105),J4,0)</f>
        <v>0</v>
      </c>
      <c r="R4" s="21">
        <f>MAX($R$3:R3)+IF(AND(E4&lt;P4,Q4&gt;0,I4&lt;=SMALL($I$4:$I$105,1)),1,0)</f>
        <v>0</v>
      </c>
      <c r="S4" s="21">
        <f>MAX($S$3:S3)+IF(AND(E4&gt;P4,J4=MIN($J$4:$J$105),I4&lt;=LARGE($I$4:$I$105,1)),1,0)</f>
        <v>0</v>
      </c>
      <c r="T4" s="118">
        <f>MAX($T$3:T3)+AND(G4&gt;=LARGE($G$4:$G$105,15),J4=MIN($J$4:$J$105))</f>
        <v>0</v>
      </c>
      <c r="U4" s="22"/>
    </row>
    <row r="5" spans="2:21">
      <c r="B5" s="16">
        <f>B4+1</f>
        <v>2</v>
      </c>
      <c r="C5" s="16" t="s">
        <v>18</v>
      </c>
      <c r="D5" s="17">
        <v>42122</v>
      </c>
      <c r="E5" s="18">
        <v>29000</v>
      </c>
      <c r="F5" s="18">
        <v>1800</v>
      </c>
      <c r="G5" s="18">
        <v>810</v>
      </c>
      <c r="H5" s="19" t="s">
        <v>19</v>
      </c>
      <c r="I5" s="19">
        <v>4</v>
      </c>
      <c r="J5" s="20">
        <v>5</v>
      </c>
      <c r="K5" s="23"/>
      <c r="L5" s="23"/>
      <c r="M5" s="23"/>
      <c r="N5" s="23"/>
      <c r="O5" s="23"/>
      <c r="P5" s="117">
        <f>AVERAGEIF($H$4:$H$105,H5,$E$4:$E$105)</f>
        <v>69538.461538461532</v>
      </c>
      <c r="Q5" s="21">
        <f t="shared" ref="Q5:Q68" si="0">IF(J5=MAX($J$4:$J$105),J5,0)</f>
        <v>5</v>
      </c>
      <c r="R5" s="21">
        <f>MAX($R$3:R4)+IF(AND(E5&lt;P5,Q5&gt;0,I5&lt;=SMALL($I$4:$I$105,1)),1,0)</f>
        <v>0</v>
      </c>
      <c r="S5" s="21">
        <f>MAX($S$3:S4)+IF(AND(E5&gt;P5,J5=MIN($J$4:$J$105),I5&lt;=LARGE($I$4:$I$105,1)),1,0)</f>
        <v>0</v>
      </c>
      <c r="T5" s="118">
        <f>MAX($T$3:T4)+AND(G5&gt;=LARGE($G$4:$G$105,15),J5=MIN($J$4:$J$105))</f>
        <v>0</v>
      </c>
      <c r="U5" s="22"/>
    </row>
    <row r="6" spans="2:21">
      <c r="B6" s="16">
        <f>B5+1</f>
        <v>3</v>
      </c>
      <c r="C6" s="16" t="s">
        <v>20</v>
      </c>
      <c r="D6" s="17">
        <v>41634</v>
      </c>
      <c r="E6" s="18">
        <v>29000</v>
      </c>
      <c r="F6" s="18">
        <v>2550</v>
      </c>
      <c r="G6" s="18">
        <v>810</v>
      </c>
      <c r="H6" s="19" t="s">
        <v>21</v>
      </c>
      <c r="I6" s="19">
        <v>1</v>
      </c>
      <c r="J6" s="20">
        <v>1</v>
      </c>
      <c r="P6" s="117">
        <f t="shared" ref="P6:P69" si="1">AVERAGEIF($H$4:$H$105,H6,$E$4:$E$105)</f>
        <v>57444.444444444445</v>
      </c>
      <c r="Q6" s="21">
        <f t="shared" si="0"/>
        <v>0</v>
      </c>
      <c r="R6" s="21">
        <f>MAX($R$3:R5)+IF(AND(E6&lt;P6,Q6&gt;0,I6&lt;=SMALL($I$4:$I$105,1)),1,0)</f>
        <v>0</v>
      </c>
      <c r="S6" s="21">
        <f>MAX($S$3:S5)+IF(AND(E6&gt;P6,J6=MIN($J$4:$J$105),I6&lt;=LARGE($I$4:$I$105,1)),1,0)</f>
        <v>0</v>
      </c>
      <c r="T6" s="118">
        <f>MAX($T$3:T5)+AND(G6&gt;=LARGE($G$4:$G$105,15),J6=MIN($J$4:$J$105))</f>
        <v>0</v>
      </c>
      <c r="U6" s="22"/>
    </row>
    <row r="7" spans="2:21">
      <c r="B7" s="16">
        <f>B6+1</f>
        <v>4</v>
      </c>
      <c r="C7" s="16" t="s">
        <v>22</v>
      </c>
      <c r="D7" s="17">
        <v>42060</v>
      </c>
      <c r="E7" s="18">
        <v>30000</v>
      </c>
      <c r="F7" s="18">
        <v>4430</v>
      </c>
      <c r="G7" s="18">
        <v>840</v>
      </c>
      <c r="H7" s="19" t="s">
        <v>17</v>
      </c>
      <c r="I7" s="19">
        <v>5</v>
      </c>
      <c r="J7" s="20">
        <v>5</v>
      </c>
      <c r="K7" s="23"/>
      <c r="L7" s="23"/>
      <c r="M7" s="23"/>
      <c r="N7" s="23"/>
      <c r="O7" s="23"/>
      <c r="P7" s="117">
        <f t="shared" si="1"/>
        <v>55400</v>
      </c>
      <c r="Q7" s="21">
        <f t="shared" si="0"/>
        <v>5</v>
      </c>
      <c r="R7" s="21">
        <f>MAX($R$3:R6)+IF(AND(E7&lt;P7,Q7&gt;0,I7&lt;=SMALL($I$4:$I$105,1)),1,0)</f>
        <v>0</v>
      </c>
      <c r="S7" s="21">
        <f>MAX($S$3:S6)+IF(AND(E7&gt;P7,J7=MIN($J$4:$J$105),I7&lt;=LARGE($I$4:$I$105,1)),1,0)</f>
        <v>0</v>
      </c>
      <c r="T7" s="118">
        <f>MAX($T$3:T6)+AND(G7&gt;=LARGE($G$4:$G$105,15),J7=MIN($J$4:$J$105))</f>
        <v>0</v>
      </c>
      <c r="U7" s="22"/>
    </row>
    <row r="8" spans="2:21">
      <c r="B8" s="16">
        <f>B7+1</f>
        <v>5</v>
      </c>
      <c r="C8" s="16" t="s">
        <v>23</v>
      </c>
      <c r="D8" s="17">
        <v>41747</v>
      </c>
      <c r="E8" s="18">
        <v>31000</v>
      </c>
      <c r="F8" s="18">
        <v>1860</v>
      </c>
      <c r="G8" s="18">
        <v>2220</v>
      </c>
      <c r="H8" s="19" t="s">
        <v>24</v>
      </c>
      <c r="I8" s="19">
        <v>3</v>
      </c>
      <c r="J8" s="20">
        <v>3</v>
      </c>
      <c r="P8" s="117">
        <f t="shared" si="1"/>
        <v>58000</v>
      </c>
      <c r="Q8" s="21">
        <f t="shared" si="0"/>
        <v>0</v>
      </c>
      <c r="R8" s="21">
        <f>MAX($R$3:R7)+IF(AND(E8&lt;P8,Q8&gt;0,I8&lt;=SMALL($I$4:$I$105,1)),1,0)</f>
        <v>0</v>
      </c>
      <c r="S8" s="21">
        <f>MAX($S$3:S7)+IF(AND(E8&gt;P8,J8=MIN($J$4:$J$105),I8&lt;=LARGE($I$4:$I$105,1)),1,0)</f>
        <v>0</v>
      </c>
      <c r="T8" s="118">
        <f>MAX($T$3:T7)+AND(G8&gt;=LARGE($G$4:$G$105,15),J8=MIN($J$4:$J$105))</f>
        <v>0</v>
      </c>
      <c r="U8" s="22"/>
    </row>
    <row r="9" spans="2:21">
      <c r="B9" s="16">
        <f t="shared" ref="B9:B72" si="2">B8+1</f>
        <v>6</v>
      </c>
      <c r="C9" s="16" t="s">
        <v>25</v>
      </c>
      <c r="D9" s="17">
        <v>42063</v>
      </c>
      <c r="E9" s="18">
        <v>31000</v>
      </c>
      <c r="F9" s="18">
        <v>5550</v>
      </c>
      <c r="G9" s="18">
        <v>60</v>
      </c>
      <c r="H9" s="19" t="s">
        <v>24</v>
      </c>
      <c r="I9" s="19">
        <v>5</v>
      </c>
      <c r="J9" s="20">
        <v>4</v>
      </c>
      <c r="P9" s="117">
        <f t="shared" si="1"/>
        <v>58000</v>
      </c>
      <c r="Q9" s="21">
        <f t="shared" si="0"/>
        <v>0</v>
      </c>
      <c r="R9" s="21">
        <f>MAX($R$3:R8)+IF(AND(E9&lt;P9,Q9&gt;0,I9&lt;=SMALL($I$4:$I$105,1)),1,0)</f>
        <v>0</v>
      </c>
      <c r="S9" s="21">
        <f>MAX($S$3:S8)+IF(AND(E9&gt;P9,J9=MIN($J$4:$J$105),I9&lt;=LARGE($I$4:$I$105,1)),1,0)</f>
        <v>0</v>
      </c>
      <c r="T9" s="118">
        <f>MAX($T$3:T8)+AND(G9&gt;=LARGE($G$4:$G$105,15),J9=MIN($J$4:$J$105))</f>
        <v>0</v>
      </c>
      <c r="U9" s="22"/>
    </row>
    <row r="10" spans="2:21">
      <c r="B10" s="16">
        <f t="shared" si="2"/>
        <v>7</v>
      </c>
      <c r="C10" s="16" t="s">
        <v>26</v>
      </c>
      <c r="D10" s="17">
        <v>41690</v>
      </c>
      <c r="E10" s="18">
        <v>32000</v>
      </c>
      <c r="F10" s="18">
        <v>5250</v>
      </c>
      <c r="G10" s="18">
        <v>60</v>
      </c>
      <c r="H10" s="19" t="s">
        <v>27</v>
      </c>
      <c r="I10" s="19">
        <v>1</v>
      </c>
      <c r="J10" s="20">
        <v>3</v>
      </c>
      <c r="P10" s="117">
        <f t="shared" si="1"/>
        <v>66071.428571428565</v>
      </c>
      <c r="Q10" s="21">
        <f t="shared" si="0"/>
        <v>0</v>
      </c>
      <c r="R10" s="21">
        <f>MAX($R$3:R9)+IF(AND(E10&lt;P10,Q10&gt;0,I10&lt;=SMALL($I$4:$I$105,1)),1,0)</f>
        <v>0</v>
      </c>
      <c r="S10" s="21">
        <f>MAX($S$3:S9)+IF(AND(E10&gt;P10,J10=MIN($J$4:$J$105),I10&lt;=LARGE($I$4:$I$105,1)),1,0)</f>
        <v>0</v>
      </c>
      <c r="T10" s="118">
        <f>MAX($T$3:T9)+AND(G10&gt;=LARGE($G$4:$G$105,15),J10=MIN($J$4:$J$105))</f>
        <v>0</v>
      </c>
      <c r="U10" s="22"/>
    </row>
    <row r="11" spans="2:21">
      <c r="B11" s="16">
        <f t="shared" si="2"/>
        <v>8</v>
      </c>
      <c r="C11" s="16" t="s">
        <v>28</v>
      </c>
      <c r="D11" s="17">
        <v>41628</v>
      </c>
      <c r="E11" s="18">
        <v>32000</v>
      </c>
      <c r="F11" s="18">
        <v>4690</v>
      </c>
      <c r="G11" s="18">
        <v>1460</v>
      </c>
      <c r="H11" s="19" t="s">
        <v>19</v>
      </c>
      <c r="I11" s="19">
        <v>1</v>
      </c>
      <c r="J11" s="20">
        <v>2</v>
      </c>
      <c r="P11" s="117">
        <f t="shared" si="1"/>
        <v>69538.461538461532</v>
      </c>
      <c r="Q11" s="21">
        <f t="shared" si="0"/>
        <v>0</v>
      </c>
      <c r="R11" s="21">
        <f>MAX($R$3:R10)+IF(AND(E11&lt;P11,Q11&gt;0,I11&lt;=SMALL($I$4:$I$105,1)),1,0)</f>
        <v>0</v>
      </c>
      <c r="S11" s="21">
        <f>MAX($S$3:S10)+IF(AND(E11&gt;P11,J11=MIN($J$4:$J$105),I11&lt;=LARGE($I$4:$I$105,1)),1,0)</f>
        <v>0</v>
      </c>
      <c r="T11" s="118">
        <f>MAX($T$3:T10)+AND(G11&gt;=LARGE($G$4:$G$105,15),J11=MIN($J$4:$J$105))</f>
        <v>0</v>
      </c>
      <c r="U11" s="22"/>
    </row>
    <row r="12" spans="2:21">
      <c r="B12" s="16">
        <f t="shared" si="2"/>
        <v>9</v>
      </c>
      <c r="C12" s="16" t="s">
        <v>29</v>
      </c>
      <c r="D12" s="17">
        <v>41662</v>
      </c>
      <c r="E12" s="18">
        <v>34000</v>
      </c>
      <c r="F12" s="18">
        <v>4350</v>
      </c>
      <c r="G12" s="18">
        <v>3060</v>
      </c>
      <c r="H12" s="19" t="s">
        <v>30</v>
      </c>
      <c r="I12" s="19">
        <v>3</v>
      </c>
      <c r="J12" s="20">
        <v>3</v>
      </c>
      <c r="P12" s="117">
        <f t="shared" si="1"/>
        <v>63400</v>
      </c>
      <c r="Q12" s="21">
        <f t="shared" si="0"/>
        <v>0</v>
      </c>
      <c r="R12" s="21">
        <f>MAX($R$3:R11)+IF(AND(E12&lt;P12,Q12&gt;0,I12&lt;=SMALL($I$4:$I$105,1)),1,0)</f>
        <v>0</v>
      </c>
      <c r="S12" s="21">
        <f>MAX($S$3:S11)+IF(AND(E12&gt;P12,J12=MIN($J$4:$J$105),I12&lt;=LARGE($I$4:$I$105,1)),1,0)</f>
        <v>0</v>
      </c>
      <c r="T12" s="118">
        <f>MAX($T$3:T11)+AND(G12&gt;=LARGE($G$4:$G$105,15),J12=MIN($J$4:$J$105))</f>
        <v>0</v>
      </c>
      <c r="U12" s="22"/>
    </row>
    <row r="13" spans="2:21">
      <c r="B13" s="16">
        <f t="shared" si="2"/>
        <v>10</v>
      </c>
      <c r="C13" s="16" t="s">
        <v>31</v>
      </c>
      <c r="D13" s="17">
        <v>41598</v>
      </c>
      <c r="E13" s="18">
        <v>34000</v>
      </c>
      <c r="F13" s="18">
        <v>2850</v>
      </c>
      <c r="G13" s="18">
        <v>1860</v>
      </c>
      <c r="H13" s="19" t="s">
        <v>32</v>
      </c>
      <c r="I13" s="19">
        <v>1</v>
      </c>
      <c r="J13" s="20">
        <v>5</v>
      </c>
      <c r="K13" s="23"/>
      <c r="L13" s="23"/>
      <c r="M13" s="23"/>
      <c r="N13" s="23"/>
      <c r="O13" s="23"/>
      <c r="P13" s="117">
        <f t="shared" si="1"/>
        <v>57200</v>
      </c>
      <c r="Q13" s="21">
        <f t="shared" si="0"/>
        <v>5</v>
      </c>
      <c r="R13" s="21">
        <f>MAX($R$3:R12)+IF(AND(E13&lt;P13,Q13&gt;0,I13&lt;=SMALL($I$4:$I$105,1)),1,0)</f>
        <v>1</v>
      </c>
      <c r="S13" s="21">
        <f>MAX($S$3:S12)+IF(AND(E13&gt;P13,J13=MIN($J$4:$J$105),I13&lt;=LARGE($I$4:$I$105,1)),1,0)</f>
        <v>0</v>
      </c>
      <c r="T13" s="118">
        <f>MAX($T$3:T12)+AND(G13&gt;=LARGE($G$4:$G$105,15),J13=MIN($J$4:$J$105))</f>
        <v>0</v>
      </c>
      <c r="U13" s="22"/>
    </row>
    <row r="14" spans="2:21">
      <c r="B14" s="16">
        <f t="shared" si="2"/>
        <v>11</v>
      </c>
      <c r="C14" s="16" t="s">
        <v>33</v>
      </c>
      <c r="D14" s="17">
        <v>41921</v>
      </c>
      <c r="E14" s="18">
        <v>35000</v>
      </c>
      <c r="F14" s="18">
        <v>3840</v>
      </c>
      <c r="G14" s="18">
        <v>370</v>
      </c>
      <c r="H14" s="19" t="s">
        <v>19</v>
      </c>
      <c r="I14" s="19">
        <v>6</v>
      </c>
      <c r="J14" s="20">
        <v>5</v>
      </c>
      <c r="K14" s="23"/>
      <c r="P14" s="117">
        <f t="shared" si="1"/>
        <v>69538.461538461532</v>
      </c>
      <c r="Q14" s="21">
        <f t="shared" si="0"/>
        <v>5</v>
      </c>
      <c r="R14" s="21">
        <f>MAX($R$3:R13)+IF(AND(E14&lt;P14,Q14&gt;0,I14&lt;=SMALL($I$4:$I$105,1)),1,0)</f>
        <v>1</v>
      </c>
      <c r="S14" s="21">
        <f>MAX($S$3:S13)+IF(AND(E14&gt;P14,J14=MIN($J$4:$J$105),I14&lt;=LARGE($I$4:$I$105,1)),1,0)</f>
        <v>0</v>
      </c>
      <c r="T14" s="118">
        <f>MAX($T$3:T13)+AND(G14&gt;=LARGE($G$4:$G$105,15),J14=MIN($J$4:$J$105))</f>
        <v>0</v>
      </c>
      <c r="U14" s="22"/>
    </row>
    <row r="15" spans="2:21">
      <c r="B15" s="16">
        <f t="shared" si="2"/>
        <v>12</v>
      </c>
      <c r="C15" s="16" t="s">
        <v>34</v>
      </c>
      <c r="D15" s="17">
        <v>41991</v>
      </c>
      <c r="E15" s="18">
        <v>35000</v>
      </c>
      <c r="F15" s="18">
        <v>2290</v>
      </c>
      <c r="G15" s="18">
        <v>990</v>
      </c>
      <c r="H15" s="19" t="s">
        <v>21</v>
      </c>
      <c r="I15" s="19">
        <v>2</v>
      </c>
      <c r="J15" s="20">
        <v>4</v>
      </c>
      <c r="P15" s="117">
        <f t="shared" si="1"/>
        <v>57444.444444444445</v>
      </c>
      <c r="Q15" s="21">
        <f t="shared" si="0"/>
        <v>0</v>
      </c>
      <c r="R15" s="21">
        <f>MAX($R$3:R14)+IF(AND(E15&lt;P15,Q15&gt;0,I15&lt;=SMALL($I$4:$I$105,1)),1,0)</f>
        <v>1</v>
      </c>
      <c r="S15" s="21">
        <f>MAX($S$3:S14)+IF(AND(E15&gt;P15,J15=MIN($J$4:$J$105),I15&lt;=LARGE($I$4:$I$105,1)),1,0)</f>
        <v>0</v>
      </c>
      <c r="T15" s="118">
        <f>MAX($T$3:T14)+AND(G15&gt;=LARGE($G$4:$G$105,15),J15=MIN($J$4:$J$105))</f>
        <v>0</v>
      </c>
      <c r="U15" s="22"/>
    </row>
    <row r="16" spans="2:21">
      <c r="B16" s="16">
        <f t="shared" si="2"/>
        <v>13</v>
      </c>
      <c r="C16" s="16" t="s">
        <v>35</v>
      </c>
      <c r="D16" s="17">
        <v>41668</v>
      </c>
      <c r="E16" s="18">
        <v>36000</v>
      </c>
      <c r="F16" s="18">
        <v>3290</v>
      </c>
      <c r="G16" s="18">
        <v>60</v>
      </c>
      <c r="H16" s="19" t="s">
        <v>27</v>
      </c>
      <c r="I16" s="19">
        <v>3</v>
      </c>
      <c r="J16" s="20">
        <v>3</v>
      </c>
      <c r="P16" s="117">
        <f t="shared" si="1"/>
        <v>66071.428571428565</v>
      </c>
      <c r="Q16" s="21">
        <f t="shared" si="0"/>
        <v>0</v>
      </c>
      <c r="R16" s="21">
        <f>MAX($R$3:R15)+IF(AND(E16&lt;P16,Q16&gt;0,I16&lt;=SMALL($I$4:$I$105,1)),1,0)</f>
        <v>1</v>
      </c>
      <c r="S16" s="21">
        <f>MAX($S$3:S15)+IF(AND(E16&gt;P16,J16=MIN($J$4:$J$105),I16&lt;=LARGE($I$4:$I$105,1)),1,0)</f>
        <v>0</v>
      </c>
      <c r="T16" s="118">
        <f>MAX($T$3:T15)+AND(G16&gt;=LARGE($G$4:$G$105,15),J16=MIN($J$4:$J$105))</f>
        <v>0</v>
      </c>
      <c r="U16" s="22"/>
    </row>
    <row r="17" spans="2:21">
      <c r="B17" s="16">
        <f t="shared" si="2"/>
        <v>14</v>
      </c>
      <c r="C17" s="16" t="s">
        <v>36</v>
      </c>
      <c r="D17" s="17">
        <v>41691</v>
      </c>
      <c r="E17" s="18">
        <v>36000</v>
      </c>
      <c r="F17" s="18">
        <v>5210</v>
      </c>
      <c r="G17" s="18">
        <v>700</v>
      </c>
      <c r="H17" s="19" t="s">
        <v>27</v>
      </c>
      <c r="I17" s="19">
        <v>1</v>
      </c>
      <c r="J17" s="20">
        <v>1</v>
      </c>
      <c r="P17" s="117">
        <f t="shared" si="1"/>
        <v>66071.428571428565</v>
      </c>
      <c r="Q17" s="21">
        <f t="shared" si="0"/>
        <v>0</v>
      </c>
      <c r="R17" s="21">
        <f>MAX($R$3:R16)+IF(AND(E17&lt;P17,Q17&gt;0,I17&lt;=SMALL($I$4:$I$105,1)),1,0)</f>
        <v>1</v>
      </c>
      <c r="S17" s="21">
        <f>MAX($S$3:S16)+IF(AND(E17&gt;P17,J17=MIN($J$4:$J$105),I17&lt;=LARGE($I$4:$I$105,1)),1,0)</f>
        <v>0</v>
      </c>
      <c r="T17" s="118">
        <f>MAX($T$3:T16)+AND(G17&gt;=LARGE($G$4:$G$105,15),J17=MIN($J$4:$J$105))</f>
        <v>0</v>
      </c>
      <c r="U17" s="22"/>
    </row>
    <row r="18" spans="2:21">
      <c r="B18" s="16">
        <f t="shared" si="2"/>
        <v>15</v>
      </c>
      <c r="C18" s="16" t="s">
        <v>37</v>
      </c>
      <c r="D18" s="17">
        <v>41961</v>
      </c>
      <c r="E18" s="18">
        <v>38000</v>
      </c>
      <c r="F18" s="18">
        <v>5470</v>
      </c>
      <c r="G18" s="18">
        <v>2100</v>
      </c>
      <c r="H18" s="19" t="s">
        <v>19</v>
      </c>
      <c r="I18" s="19">
        <v>5</v>
      </c>
      <c r="J18" s="20">
        <v>3</v>
      </c>
      <c r="P18" s="117">
        <f t="shared" si="1"/>
        <v>69538.461538461532</v>
      </c>
      <c r="Q18" s="21">
        <f t="shared" si="0"/>
        <v>0</v>
      </c>
      <c r="R18" s="21">
        <f>MAX($R$3:R17)+IF(AND(E18&lt;P18,Q18&gt;0,I18&lt;=SMALL($I$4:$I$105,1)),1,0)</f>
        <v>1</v>
      </c>
      <c r="S18" s="21">
        <f>MAX($S$3:S17)+IF(AND(E18&gt;P18,J18=MIN($J$4:$J$105),I18&lt;=LARGE($I$4:$I$105,1)),1,0)</f>
        <v>0</v>
      </c>
      <c r="T18" s="118">
        <f>MAX($T$3:T17)+AND(G18&gt;=LARGE($G$4:$G$105,15),J18=MIN($J$4:$J$105))</f>
        <v>0</v>
      </c>
      <c r="U18" s="22"/>
    </row>
    <row r="19" spans="2:21">
      <c r="B19" s="16">
        <f t="shared" si="2"/>
        <v>16</v>
      </c>
      <c r="C19" s="16" t="s">
        <v>38</v>
      </c>
      <c r="D19" s="17">
        <v>41758</v>
      </c>
      <c r="E19" s="18">
        <v>38000</v>
      </c>
      <c r="F19" s="18">
        <v>5130</v>
      </c>
      <c r="G19" s="18">
        <v>3120</v>
      </c>
      <c r="H19" s="19" t="s">
        <v>39</v>
      </c>
      <c r="I19" s="19">
        <v>5</v>
      </c>
      <c r="J19" s="20">
        <v>1</v>
      </c>
      <c r="P19" s="117">
        <f t="shared" si="1"/>
        <v>68133.333333333328</v>
      </c>
      <c r="Q19" s="21">
        <f t="shared" si="0"/>
        <v>0</v>
      </c>
      <c r="R19" s="21">
        <f>MAX($R$3:R18)+IF(AND(E19&lt;P19,Q19&gt;0,I19&lt;=SMALL($I$4:$I$105,1)),1,0)</f>
        <v>1</v>
      </c>
      <c r="S19" s="21">
        <f>MAX($S$3:S18)+IF(AND(E19&gt;P19,J19=MIN($J$4:$J$105),I19&lt;=LARGE($I$4:$I$105,1)),1,0)</f>
        <v>0</v>
      </c>
      <c r="T19" s="118">
        <f>MAX($T$3:T18)+AND(G19&gt;=LARGE($G$4:$G$105,15),J19=MIN($J$4:$J$105))</f>
        <v>0</v>
      </c>
      <c r="U19" s="22"/>
    </row>
    <row r="20" spans="2:21">
      <c r="B20" s="16">
        <f t="shared" si="2"/>
        <v>17</v>
      </c>
      <c r="C20" s="16" t="s">
        <v>40</v>
      </c>
      <c r="D20" s="17">
        <v>41654</v>
      </c>
      <c r="E20" s="18">
        <v>39000</v>
      </c>
      <c r="F20" s="18">
        <v>2800</v>
      </c>
      <c r="G20" s="18">
        <v>1110</v>
      </c>
      <c r="H20" s="19" t="s">
        <v>32</v>
      </c>
      <c r="I20" s="19">
        <v>3</v>
      </c>
      <c r="J20" s="20">
        <v>4</v>
      </c>
      <c r="P20" s="117">
        <f t="shared" si="1"/>
        <v>57200</v>
      </c>
      <c r="Q20" s="21">
        <f t="shared" si="0"/>
        <v>0</v>
      </c>
      <c r="R20" s="21">
        <f>MAX($R$3:R19)+IF(AND(E20&lt;P20,Q20&gt;0,I20&lt;=SMALL($I$4:$I$105,1)),1,0)</f>
        <v>1</v>
      </c>
      <c r="S20" s="21">
        <f>MAX($S$3:S19)+IF(AND(E20&gt;P20,J20=MIN($J$4:$J$105),I20&lt;=LARGE($I$4:$I$105,1)),1,0)</f>
        <v>0</v>
      </c>
      <c r="T20" s="118">
        <f>MAX($T$3:T19)+AND(G20&gt;=LARGE($G$4:$G$105,15),J20=MIN($J$4:$J$105))</f>
        <v>0</v>
      </c>
      <c r="U20" s="22"/>
    </row>
    <row r="21" spans="2:21">
      <c r="B21" s="16">
        <f t="shared" si="2"/>
        <v>18</v>
      </c>
      <c r="C21" s="16" t="s">
        <v>41</v>
      </c>
      <c r="D21" s="17">
        <v>42065</v>
      </c>
      <c r="E21" s="18">
        <v>39000</v>
      </c>
      <c r="F21" s="18">
        <v>4550</v>
      </c>
      <c r="G21" s="18">
        <v>2160</v>
      </c>
      <c r="H21" s="19" t="s">
        <v>27</v>
      </c>
      <c r="I21" s="19">
        <v>1</v>
      </c>
      <c r="J21" s="20">
        <v>2</v>
      </c>
      <c r="P21" s="117">
        <f t="shared" si="1"/>
        <v>66071.428571428565</v>
      </c>
      <c r="Q21" s="21">
        <f t="shared" si="0"/>
        <v>0</v>
      </c>
      <c r="R21" s="21">
        <f>MAX($R$3:R20)+IF(AND(E21&lt;P21,Q21&gt;0,I21&lt;=SMALL($I$4:$I$105,1)),1,0)</f>
        <v>1</v>
      </c>
      <c r="S21" s="21">
        <f>MAX($S$3:S20)+IF(AND(E21&gt;P21,J21=MIN($J$4:$J$105),I21&lt;=LARGE($I$4:$I$105,1)),1,0)</f>
        <v>0</v>
      </c>
      <c r="T21" s="118">
        <f>MAX($T$3:T20)+AND(G21&gt;=LARGE($G$4:$G$105,15),J21=MIN($J$4:$J$105))</f>
        <v>0</v>
      </c>
      <c r="U21" s="22"/>
    </row>
    <row r="22" spans="2:21">
      <c r="B22" s="16">
        <f t="shared" si="2"/>
        <v>19</v>
      </c>
      <c r="C22" s="16" t="s">
        <v>42</v>
      </c>
      <c r="D22" s="17">
        <v>42089</v>
      </c>
      <c r="E22" s="18">
        <v>39000</v>
      </c>
      <c r="F22" s="18">
        <v>27050</v>
      </c>
      <c r="G22" s="18">
        <v>60</v>
      </c>
      <c r="H22" s="19" t="s">
        <v>43</v>
      </c>
      <c r="I22" s="19">
        <v>4</v>
      </c>
      <c r="J22" s="20">
        <v>5</v>
      </c>
      <c r="K22" s="23"/>
      <c r="L22" s="23"/>
      <c r="M22" s="23"/>
      <c r="N22" s="23"/>
      <c r="O22" s="23"/>
      <c r="P22" s="117">
        <f t="shared" si="1"/>
        <v>64692.307692307695</v>
      </c>
      <c r="Q22" s="21">
        <f t="shared" si="0"/>
        <v>5</v>
      </c>
      <c r="R22" s="21">
        <f>MAX($R$3:R21)+IF(AND(E22&lt;P22,Q22&gt;0,I22&lt;=SMALL($I$4:$I$105,1)),1,0)</f>
        <v>1</v>
      </c>
      <c r="S22" s="21">
        <f>MAX($S$3:S21)+IF(AND(E22&gt;P22,J22=MIN($J$4:$J$105),I22&lt;=LARGE($I$4:$I$105,1)),1,0)</f>
        <v>0</v>
      </c>
      <c r="T22" s="118">
        <f>MAX($T$3:T21)+AND(G22&gt;=LARGE($G$4:$G$105,15),J22=MIN($J$4:$J$105))</f>
        <v>0</v>
      </c>
      <c r="U22" s="22"/>
    </row>
    <row r="23" spans="2:21">
      <c r="B23" s="16">
        <f t="shared" si="2"/>
        <v>20</v>
      </c>
      <c r="C23" s="16" t="s">
        <v>44</v>
      </c>
      <c r="D23" s="17">
        <v>42180</v>
      </c>
      <c r="E23" s="18">
        <v>40000</v>
      </c>
      <c r="F23" s="18">
        <v>3570.0000000000005</v>
      </c>
      <c r="G23" s="18">
        <v>1860</v>
      </c>
      <c r="H23" s="19" t="s">
        <v>24</v>
      </c>
      <c r="I23" s="19">
        <v>1</v>
      </c>
      <c r="J23" s="20">
        <v>1</v>
      </c>
      <c r="P23" s="117">
        <f t="shared" si="1"/>
        <v>58000</v>
      </c>
      <c r="Q23" s="21">
        <f t="shared" si="0"/>
        <v>0</v>
      </c>
      <c r="R23" s="21">
        <f>MAX($R$3:R22)+IF(AND(E23&lt;P23,Q23&gt;0,I23&lt;=SMALL($I$4:$I$105,1)),1,0)</f>
        <v>1</v>
      </c>
      <c r="S23" s="21">
        <f>MAX($S$3:S22)+IF(AND(E23&gt;P23,J23=MIN($J$4:$J$105),I23&lt;=LARGE($I$4:$I$105,1)),1,0)</f>
        <v>0</v>
      </c>
      <c r="T23" s="118">
        <f>MAX($T$3:T22)+AND(G23&gt;=LARGE($G$4:$G$105,15),J23=MIN($J$4:$J$105))</f>
        <v>0</v>
      </c>
      <c r="U23" s="22"/>
    </row>
    <row r="24" spans="2:21">
      <c r="B24" s="16">
        <f t="shared" si="2"/>
        <v>21</v>
      </c>
      <c r="C24" s="16" t="s">
        <v>45</v>
      </c>
      <c r="D24" s="17">
        <v>41888</v>
      </c>
      <c r="E24" s="18">
        <v>42000</v>
      </c>
      <c r="F24" s="18">
        <v>2950</v>
      </c>
      <c r="G24" s="18">
        <v>60</v>
      </c>
      <c r="H24" s="19" t="s">
        <v>39</v>
      </c>
      <c r="I24" s="19">
        <v>1</v>
      </c>
      <c r="J24" s="20">
        <v>3</v>
      </c>
      <c r="P24" s="117">
        <f t="shared" si="1"/>
        <v>68133.333333333328</v>
      </c>
      <c r="Q24" s="21">
        <f t="shared" si="0"/>
        <v>0</v>
      </c>
      <c r="R24" s="21">
        <f>MAX($R$3:R23)+IF(AND(E24&lt;P24,Q24&gt;0,I24&lt;=SMALL($I$4:$I$105,1)),1,0)</f>
        <v>1</v>
      </c>
      <c r="S24" s="21">
        <f>MAX($S$3:S23)+IF(AND(E24&gt;P24,J24=MIN($J$4:$J$105),I24&lt;=LARGE($I$4:$I$105,1)),1,0)</f>
        <v>0</v>
      </c>
      <c r="T24" s="118">
        <f>MAX($T$3:T23)+AND(G24&gt;=LARGE($G$4:$G$105,15),J24=MIN($J$4:$J$105))</f>
        <v>0</v>
      </c>
      <c r="U24" s="22"/>
    </row>
    <row r="25" spans="2:21">
      <c r="B25" s="16">
        <f t="shared" si="2"/>
        <v>22</v>
      </c>
      <c r="C25" s="16" t="s">
        <v>46</v>
      </c>
      <c r="D25" s="17">
        <v>41937</v>
      </c>
      <c r="E25" s="18">
        <v>43000</v>
      </c>
      <c r="F25" s="18">
        <v>1830</v>
      </c>
      <c r="G25" s="18">
        <v>450</v>
      </c>
      <c r="H25" s="19" t="s">
        <v>24</v>
      </c>
      <c r="I25" s="19">
        <v>4</v>
      </c>
      <c r="J25" s="20">
        <v>3</v>
      </c>
      <c r="P25" s="117">
        <f t="shared" si="1"/>
        <v>58000</v>
      </c>
      <c r="Q25" s="21">
        <f t="shared" si="0"/>
        <v>0</v>
      </c>
      <c r="R25" s="21">
        <f>MAX($R$3:R24)+IF(AND(E25&lt;P25,Q25&gt;0,I25&lt;=SMALL($I$4:$I$105,1)),1,0)</f>
        <v>1</v>
      </c>
      <c r="S25" s="21">
        <f>MAX($S$3:S24)+IF(AND(E25&gt;P25,J25=MIN($J$4:$J$105),I25&lt;=LARGE($I$4:$I$105,1)),1,0)</f>
        <v>0</v>
      </c>
      <c r="T25" s="118">
        <f>MAX($T$3:T24)+AND(G25&gt;=LARGE($G$4:$G$105,15),J25=MIN($J$4:$J$105))</f>
        <v>0</v>
      </c>
      <c r="U25" s="22"/>
    </row>
    <row r="26" spans="2:21">
      <c r="B26" s="16">
        <f t="shared" si="2"/>
        <v>23</v>
      </c>
      <c r="C26" s="16" t="s">
        <v>47</v>
      </c>
      <c r="D26" s="17">
        <v>42282</v>
      </c>
      <c r="E26" s="18">
        <v>44000</v>
      </c>
      <c r="F26" s="18">
        <v>6650.0000000000009</v>
      </c>
      <c r="G26" s="18">
        <v>60</v>
      </c>
      <c r="H26" s="19" t="s">
        <v>30</v>
      </c>
      <c r="I26" s="19">
        <v>6</v>
      </c>
      <c r="J26" s="20">
        <v>5</v>
      </c>
      <c r="K26" s="23"/>
      <c r="P26" s="117">
        <f t="shared" si="1"/>
        <v>63400</v>
      </c>
      <c r="Q26" s="21">
        <f t="shared" si="0"/>
        <v>5</v>
      </c>
      <c r="R26" s="21">
        <f>MAX($R$3:R25)+IF(AND(E26&lt;P26,Q26&gt;0,I26&lt;=SMALL($I$4:$I$105,1)),1,0)</f>
        <v>1</v>
      </c>
      <c r="S26" s="21">
        <f>MAX($S$3:S25)+IF(AND(E26&gt;P26,J26=MIN($J$4:$J$105),I26&lt;=LARGE($I$4:$I$105,1)),1,0)</f>
        <v>0</v>
      </c>
      <c r="T26" s="118">
        <f>MAX($T$3:T25)+AND(G26&gt;=LARGE($G$4:$G$105,15),J26=MIN($J$4:$J$105))</f>
        <v>0</v>
      </c>
      <c r="U26" s="22"/>
    </row>
    <row r="27" spans="2:21">
      <c r="B27" s="16">
        <f t="shared" si="2"/>
        <v>24</v>
      </c>
      <c r="C27" s="16" t="s">
        <v>48</v>
      </c>
      <c r="D27" s="17">
        <v>41833</v>
      </c>
      <c r="E27" s="18">
        <v>44000</v>
      </c>
      <c r="F27" s="18">
        <v>2650</v>
      </c>
      <c r="G27" s="18">
        <v>1660</v>
      </c>
      <c r="H27" s="19" t="s">
        <v>17</v>
      </c>
      <c r="I27" s="19">
        <v>2</v>
      </c>
      <c r="J27" s="20">
        <v>2</v>
      </c>
      <c r="P27" s="117">
        <f t="shared" si="1"/>
        <v>55400</v>
      </c>
      <c r="Q27" s="21">
        <f t="shared" si="0"/>
        <v>0</v>
      </c>
      <c r="R27" s="21">
        <f>MAX($R$3:R26)+IF(AND(E27&lt;P27,Q27&gt;0,I27&lt;=SMALL($I$4:$I$105,1)),1,0)</f>
        <v>1</v>
      </c>
      <c r="S27" s="21">
        <f>MAX($S$3:S26)+IF(AND(E27&gt;P27,J27=MIN($J$4:$J$105),I27&lt;=LARGE($I$4:$I$105,1)),1,0)</f>
        <v>0</v>
      </c>
      <c r="T27" s="118">
        <f>MAX($T$3:T26)+AND(G27&gt;=LARGE($G$4:$G$105,15),J27=MIN($J$4:$J$105))</f>
        <v>0</v>
      </c>
      <c r="U27" s="22"/>
    </row>
    <row r="28" spans="2:21">
      <c r="B28" s="16">
        <f t="shared" si="2"/>
        <v>25</v>
      </c>
      <c r="C28" s="16" t="s">
        <v>49</v>
      </c>
      <c r="D28" s="17">
        <v>42256</v>
      </c>
      <c r="E28" s="18">
        <v>45000</v>
      </c>
      <c r="F28" s="18">
        <v>3100</v>
      </c>
      <c r="G28" s="18">
        <v>1700</v>
      </c>
      <c r="H28" s="19" t="s">
        <v>21</v>
      </c>
      <c r="I28" s="19">
        <v>1</v>
      </c>
      <c r="J28" s="20">
        <v>2</v>
      </c>
      <c r="P28" s="117">
        <f t="shared" si="1"/>
        <v>57444.444444444445</v>
      </c>
      <c r="Q28" s="21">
        <f t="shared" si="0"/>
        <v>0</v>
      </c>
      <c r="R28" s="21">
        <f>MAX($R$3:R27)+IF(AND(E28&lt;P28,Q28&gt;0,I28&lt;=SMALL($I$4:$I$105,1)),1,0)</f>
        <v>1</v>
      </c>
      <c r="S28" s="21">
        <f>MAX($S$3:S27)+IF(AND(E28&gt;P28,J28=MIN($J$4:$J$105),I28&lt;=LARGE($I$4:$I$105,1)),1,0)</f>
        <v>0</v>
      </c>
      <c r="T28" s="118">
        <f>MAX($T$3:T27)+AND(G28&gt;=LARGE($G$4:$G$105,15),J28=MIN($J$4:$J$105))</f>
        <v>0</v>
      </c>
      <c r="U28" s="22"/>
    </row>
    <row r="29" spans="2:21">
      <c r="B29" s="16">
        <f t="shared" si="2"/>
        <v>26</v>
      </c>
      <c r="C29" s="16" t="s">
        <v>50</v>
      </c>
      <c r="D29" s="17">
        <v>41947</v>
      </c>
      <c r="E29" s="18">
        <v>46000</v>
      </c>
      <c r="F29" s="18">
        <v>3570</v>
      </c>
      <c r="G29" s="18">
        <v>3840</v>
      </c>
      <c r="H29" s="19" t="s">
        <v>32</v>
      </c>
      <c r="I29" s="19">
        <v>5</v>
      </c>
      <c r="J29" s="20">
        <v>4</v>
      </c>
      <c r="P29" s="117">
        <f t="shared" si="1"/>
        <v>57200</v>
      </c>
      <c r="Q29" s="21">
        <f t="shared" si="0"/>
        <v>0</v>
      </c>
      <c r="R29" s="21">
        <f>MAX($R$3:R28)+IF(AND(E29&lt;P29,Q29&gt;0,I29&lt;=SMALL($I$4:$I$105,1)),1,0)</f>
        <v>1</v>
      </c>
      <c r="S29" s="21">
        <f>MAX($S$3:S28)+IF(AND(E29&gt;P29,J29=MIN($J$4:$J$105),I29&lt;=LARGE($I$4:$I$105,1)),1,0)</f>
        <v>0</v>
      </c>
      <c r="T29" s="118">
        <f>MAX($T$3:T28)+AND(G29&gt;=LARGE($G$4:$G$105,15),J29=MIN($J$4:$J$105))</f>
        <v>0</v>
      </c>
      <c r="U29" s="22"/>
    </row>
    <row r="30" spans="2:21">
      <c r="B30" s="16">
        <f t="shared" si="2"/>
        <v>27</v>
      </c>
      <c r="C30" s="16" t="s">
        <v>51</v>
      </c>
      <c r="D30" s="17">
        <v>42101</v>
      </c>
      <c r="E30" s="18">
        <v>47000</v>
      </c>
      <c r="F30" s="18">
        <v>5780</v>
      </c>
      <c r="G30" s="18">
        <v>60</v>
      </c>
      <c r="H30" s="19" t="s">
        <v>43</v>
      </c>
      <c r="I30" s="19">
        <v>3</v>
      </c>
      <c r="J30" s="20">
        <v>2</v>
      </c>
      <c r="P30" s="117">
        <f t="shared" si="1"/>
        <v>64692.307692307695</v>
      </c>
      <c r="Q30" s="21">
        <f t="shared" si="0"/>
        <v>0</v>
      </c>
      <c r="R30" s="21">
        <f>MAX($R$3:R29)+IF(AND(E30&lt;P30,Q30&gt;0,I30&lt;=SMALL($I$4:$I$105,1)),1,0)</f>
        <v>1</v>
      </c>
      <c r="S30" s="21">
        <f>MAX($S$3:S29)+IF(AND(E30&gt;P30,J30=MIN($J$4:$J$105),I30&lt;=LARGE($I$4:$I$105,1)),1,0)</f>
        <v>0</v>
      </c>
      <c r="T30" s="118">
        <f>MAX($T$3:T29)+AND(G30&gt;=LARGE($G$4:$G$105,15),J30=MIN($J$4:$J$105))</f>
        <v>0</v>
      </c>
      <c r="U30" s="22"/>
    </row>
    <row r="31" spans="2:21">
      <c r="B31" s="16">
        <f t="shared" si="2"/>
        <v>28</v>
      </c>
      <c r="C31" s="16" t="s">
        <v>52</v>
      </c>
      <c r="D31" s="17">
        <v>42239</v>
      </c>
      <c r="E31" s="18">
        <v>47000</v>
      </c>
      <c r="F31" s="18">
        <v>43050</v>
      </c>
      <c r="G31" s="18">
        <v>60</v>
      </c>
      <c r="H31" s="19" t="s">
        <v>43</v>
      </c>
      <c r="I31" s="19">
        <v>4</v>
      </c>
      <c r="J31" s="20">
        <v>4</v>
      </c>
      <c r="P31" s="117">
        <f t="shared" si="1"/>
        <v>64692.307692307695</v>
      </c>
      <c r="Q31" s="21">
        <f t="shared" si="0"/>
        <v>0</v>
      </c>
      <c r="R31" s="21">
        <f>MAX($R$3:R30)+IF(AND(E31&lt;P31,Q31&gt;0,I31&lt;=SMALL($I$4:$I$105,1)),1,0)</f>
        <v>1</v>
      </c>
      <c r="S31" s="21">
        <f>MAX($S$3:S30)+IF(AND(E31&gt;P31,J31=MIN($J$4:$J$105),I31&lt;=LARGE($I$4:$I$105,1)),1,0)</f>
        <v>0</v>
      </c>
      <c r="T31" s="118">
        <f>MAX($T$3:T30)+AND(G31&gt;=LARGE($G$4:$G$105,15),J31=MIN($J$4:$J$105))</f>
        <v>0</v>
      </c>
      <c r="U31" s="22"/>
    </row>
    <row r="32" spans="2:21">
      <c r="B32" s="16">
        <f t="shared" si="2"/>
        <v>29</v>
      </c>
      <c r="C32" s="16" t="s">
        <v>53</v>
      </c>
      <c r="D32" s="17">
        <v>41729</v>
      </c>
      <c r="E32" s="18">
        <v>48000</v>
      </c>
      <c r="F32" s="18">
        <v>2370</v>
      </c>
      <c r="G32" s="18">
        <v>940</v>
      </c>
      <c r="H32" s="19" t="s">
        <v>17</v>
      </c>
      <c r="I32" s="19">
        <v>3</v>
      </c>
      <c r="J32" s="20">
        <v>4</v>
      </c>
      <c r="P32" s="117">
        <f t="shared" si="1"/>
        <v>55400</v>
      </c>
      <c r="Q32" s="21">
        <f t="shared" si="0"/>
        <v>0</v>
      </c>
      <c r="R32" s="21">
        <f>MAX($R$3:R31)+IF(AND(E32&lt;P32,Q32&gt;0,I32&lt;=SMALL($I$4:$I$105,1)),1,0)</f>
        <v>1</v>
      </c>
      <c r="S32" s="21">
        <f>MAX($S$3:S31)+IF(AND(E32&gt;P32,J32=MIN($J$4:$J$105),I32&lt;=LARGE($I$4:$I$105,1)),1,0)</f>
        <v>0</v>
      </c>
      <c r="T32" s="118">
        <f>MAX($T$3:T31)+AND(G32&gt;=LARGE($G$4:$G$105,15),J32=MIN($J$4:$J$105))</f>
        <v>0</v>
      </c>
      <c r="U32" s="22"/>
    </row>
    <row r="33" spans="2:21">
      <c r="B33" s="16">
        <f t="shared" si="2"/>
        <v>30</v>
      </c>
      <c r="C33" s="16" t="s">
        <v>54</v>
      </c>
      <c r="D33" s="17">
        <v>41792</v>
      </c>
      <c r="E33" s="18">
        <v>49000</v>
      </c>
      <c r="F33" s="18">
        <v>38050</v>
      </c>
      <c r="G33" s="18">
        <v>60</v>
      </c>
      <c r="H33" s="19" t="s">
        <v>43</v>
      </c>
      <c r="I33" s="19">
        <v>2</v>
      </c>
      <c r="J33" s="20">
        <v>5</v>
      </c>
      <c r="K33" s="23"/>
      <c r="L33" s="23"/>
      <c r="M33" s="23"/>
      <c r="N33" s="23"/>
      <c r="O33" s="23"/>
      <c r="P33" s="117">
        <f t="shared" si="1"/>
        <v>64692.307692307695</v>
      </c>
      <c r="Q33" s="21">
        <f t="shared" si="0"/>
        <v>5</v>
      </c>
      <c r="R33" s="21">
        <f>MAX($R$3:R32)+IF(AND(E33&lt;P33,Q33&gt;0,I33&lt;=SMALL($I$4:$I$105,1)),1,0)</f>
        <v>1</v>
      </c>
      <c r="S33" s="21">
        <f>MAX($S$3:S32)+IF(AND(E33&gt;P33,J33=MIN($J$4:$J$105),I33&lt;=LARGE($I$4:$I$105,1)),1,0)</f>
        <v>0</v>
      </c>
      <c r="T33" s="118">
        <f>MAX($T$3:T32)+AND(G33&gt;=LARGE($G$4:$G$105,15),J33=MIN($J$4:$J$105))</f>
        <v>0</v>
      </c>
      <c r="U33" s="22"/>
    </row>
    <row r="34" spans="2:21">
      <c r="B34" s="16">
        <f t="shared" si="2"/>
        <v>31</v>
      </c>
      <c r="C34" s="16" t="s">
        <v>55</v>
      </c>
      <c r="D34" s="17">
        <v>42003</v>
      </c>
      <c r="E34" s="18">
        <v>49000</v>
      </c>
      <c r="F34" s="18">
        <v>6900</v>
      </c>
      <c r="G34" s="18">
        <v>4560</v>
      </c>
      <c r="H34" s="19" t="s">
        <v>19</v>
      </c>
      <c r="I34" s="19">
        <v>1</v>
      </c>
      <c r="J34" s="20">
        <v>2</v>
      </c>
      <c r="P34" s="117">
        <f t="shared" si="1"/>
        <v>69538.461538461532</v>
      </c>
      <c r="Q34" s="21">
        <f t="shared" si="0"/>
        <v>0</v>
      </c>
      <c r="R34" s="21">
        <f>MAX($R$3:R33)+IF(AND(E34&lt;P34,Q34&gt;0,I34&lt;=SMALL($I$4:$I$105,1)),1,0)</f>
        <v>1</v>
      </c>
      <c r="S34" s="21">
        <f>MAX($S$3:S33)+IF(AND(E34&gt;P34,J34=MIN($J$4:$J$105),I34&lt;=LARGE($I$4:$I$105,1)),1,0)</f>
        <v>0</v>
      </c>
      <c r="T34" s="118">
        <f>MAX($T$3:T33)+AND(G34&gt;=LARGE($G$4:$G$105,15),J34=MIN($J$4:$J$105))</f>
        <v>0</v>
      </c>
      <c r="U34" s="22"/>
    </row>
    <row r="35" spans="2:21">
      <c r="B35" s="16">
        <f t="shared" si="2"/>
        <v>32</v>
      </c>
      <c r="C35" s="16" t="s">
        <v>56</v>
      </c>
      <c r="D35" s="17">
        <v>41902</v>
      </c>
      <c r="E35" s="18">
        <v>49000</v>
      </c>
      <c r="F35" s="18">
        <v>1950</v>
      </c>
      <c r="G35" s="18">
        <v>60</v>
      </c>
      <c r="H35" s="19" t="s">
        <v>39</v>
      </c>
      <c r="I35" s="19">
        <v>1</v>
      </c>
      <c r="J35" s="20">
        <v>5</v>
      </c>
      <c r="K35" s="23"/>
      <c r="L35" s="23"/>
      <c r="M35" s="23"/>
      <c r="N35" s="23"/>
      <c r="O35" s="23"/>
      <c r="P35" s="117">
        <f t="shared" si="1"/>
        <v>68133.333333333328</v>
      </c>
      <c r="Q35" s="21">
        <f t="shared" si="0"/>
        <v>5</v>
      </c>
      <c r="R35" s="21">
        <f>MAX($R$3:R34)+IF(AND(E35&lt;P35,Q35&gt;0,I35&lt;=SMALL($I$4:$I$105,1)),1,0)</f>
        <v>2</v>
      </c>
      <c r="S35" s="21">
        <f>MAX($S$3:S34)+IF(AND(E35&gt;P35,J35=MIN($J$4:$J$105),I35&lt;=LARGE($I$4:$I$105,1)),1,0)</f>
        <v>0</v>
      </c>
      <c r="T35" s="118">
        <f>MAX($T$3:T34)+AND(G35&gt;=LARGE($G$4:$G$105,15),J35=MIN($J$4:$J$105))</f>
        <v>0</v>
      </c>
      <c r="U35" s="22"/>
    </row>
    <row r="36" spans="2:21">
      <c r="B36" s="16">
        <f t="shared" si="2"/>
        <v>33</v>
      </c>
      <c r="C36" s="16" t="s">
        <v>57</v>
      </c>
      <c r="D36" s="17">
        <v>41816</v>
      </c>
      <c r="E36" s="18">
        <v>50000</v>
      </c>
      <c r="F36" s="18">
        <v>3350</v>
      </c>
      <c r="G36" s="18">
        <v>60</v>
      </c>
      <c r="H36" s="19" t="s">
        <v>43</v>
      </c>
      <c r="I36" s="19">
        <v>6</v>
      </c>
      <c r="J36" s="20">
        <v>2</v>
      </c>
      <c r="P36" s="117">
        <f t="shared" si="1"/>
        <v>64692.307692307695</v>
      </c>
      <c r="Q36" s="21">
        <f t="shared" si="0"/>
        <v>0</v>
      </c>
      <c r="R36" s="21">
        <f>MAX($R$3:R35)+IF(AND(E36&lt;P36,Q36&gt;0,I36&lt;=SMALL($I$4:$I$105,1)),1,0)</f>
        <v>2</v>
      </c>
      <c r="S36" s="21">
        <f>MAX($S$3:S35)+IF(AND(E36&gt;P36,J36=MIN($J$4:$J$105),I36&lt;=LARGE($I$4:$I$105,1)),1,0)</f>
        <v>0</v>
      </c>
      <c r="T36" s="118">
        <f>MAX($T$3:T35)+AND(G36&gt;=LARGE($G$4:$G$105,15),J36=MIN($J$4:$J$105))</f>
        <v>0</v>
      </c>
      <c r="U36" s="22"/>
    </row>
    <row r="37" spans="2:21">
      <c r="B37" s="16">
        <f t="shared" si="2"/>
        <v>34</v>
      </c>
      <c r="C37" s="16" t="s">
        <v>58</v>
      </c>
      <c r="D37" s="17">
        <v>41781</v>
      </c>
      <c r="E37" s="18">
        <v>51000</v>
      </c>
      <c r="F37" s="18">
        <v>3870</v>
      </c>
      <c r="G37" s="18">
        <v>530</v>
      </c>
      <c r="H37" s="19" t="s">
        <v>21</v>
      </c>
      <c r="I37" s="19">
        <v>3</v>
      </c>
      <c r="J37" s="20">
        <v>5</v>
      </c>
      <c r="K37" s="23"/>
      <c r="L37" s="23"/>
      <c r="M37" s="23"/>
      <c r="N37" s="23"/>
      <c r="O37" s="23"/>
      <c r="P37" s="117">
        <f t="shared" si="1"/>
        <v>57444.444444444445</v>
      </c>
      <c r="Q37" s="21">
        <f t="shared" si="0"/>
        <v>5</v>
      </c>
      <c r="R37" s="21">
        <f>MAX($R$3:R36)+IF(AND(E37&lt;P37,Q37&gt;0,I37&lt;=SMALL($I$4:$I$105,1)),1,0)</f>
        <v>2</v>
      </c>
      <c r="S37" s="21">
        <f>MAX($S$3:S36)+IF(AND(E37&gt;P37,J37=MIN($J$4:$J$105),I37&lt;=LARGE($I$4:$I$105,1)),1,0)</f>
        <v>0</v>
      </c>
      <c r="T37" s="118">
        <f>MAX($T$3:T36)+AND(G37&gt;=LARGE($G$4:$G$105,15),J37=MIN($J$4:$J$105))</f>
        <v>0</v>
      </c>
      <c r="U37" s="22"/>
    </row>
    <row r="38" spans="2:21">
      <c r="B38" s="16">
        <f t="shared" si="2"/>
        <v>35</v>
      </c>
      <c r="C38" s="16" t="s">
        <v>59</v>
      </c>
      <c r="D38" s="17">
        <v>41712</v>
      </c>
      <c r="E38" s="18">
        <v>52000</v>
      </c>
      <c r="F38" s="18">
        <v>6810</v>
      </c>
      <c r="G38" s="18">
        <v>4860</v>
      </c>
      <c r="H38" s="19" t="s">
        <v>32</v>
      </c>
      <c r="I38" s="19">
        <v>2</v>
      </c>
      <c r="J38" s="20">
        <v>3</v>
      </c>
      <c r="P38" s="117">
        <f t="shared" si="1"/>
        <v>57200</v>
      </c>
      <c r="Q38" s="21">
        <f t="shared" si="0"/>
        <v>0</v>
      </c>
      <c r="R38" s="21">
        <f>MAX($R$3:R37)+IF(AND(E38&lt;P38,Q38&gt;0,I38&lt;=SMALL($I$4:$I$105,1)),1,0)</f>
        <v>2</v>
      </c>
      <c r="S38" s="21">
        <f>MAX($S$3:S37)+IF(AND(E38&gt;P38,J38=MIN($J$4:$J$105),I38&lt;=LARGE($I$4:$I$105,1)),1,0)</f>
        <v>0</v>
      </c>
      <c r="T38" s="118">
        <f>MAX($T$3:T37)+AND(G38&gt;=LARGE($G$4:$G$105,15),J38=MIN($J$4:$J$105))</f>
        <v>0</v>
      </c>
      <c r="U38" s="22"/>
    </row>
    <row r="39" spans="2:21">
      <c r="B39" s="16">
        <f t="shared" si="2"/>
        <v>36</v>
      </c>
      <c r="C39" s="16" t="s">
        <v>60</v>
      </c>
      <c r="D39" s="17">
        <v>42188</v>
      </c>
      <c r="E39" s="18">
        <v>52000</v>
      </c>
      <c r="F39" s="18">
        <v>4890</v>
      </c>
      <c r="G39" s="18">
        <v>4380</v>
      </c>
      <c r="H39" s="19" t="s">
        <v>17</v>
      </c>
      <c r="I39" s="19">
        <v>5</v>
      </c>
      <c r="J39" s="20">
        <v>5</v>
      </c>
      <c r="K39" s="23"/>
      <c r="L39" s="23"/>
      <c r="M39" s="23"/>
      <c r="N39" s="23"/>
      <c r="O39" s="23"/>
      <c r="P39" s="117">
        <f t="shared" si="1"/>
        <v>55400</v>
      </c>
      <c r="Q39" s="21">
        <f t="shared" si="0"/>
        <v>5</v>
      </c>
      <c r="R39" s="21">
        <f>MAX($R$3:R38)+IF(AND(E39&lt;P39,Q39&gt;0,I39&lt;=SMALL($I$4:$I$105,1)),1,0)</f>
        <v>2</v>
      </c>
      <c r="S39" s="21">
        <f>MAX($S$3:S38)+IF(AND(E39&gt;P39,J39=MIN($J$4:$J$105),I39&lt;=LARGE($I$4:$I$105,1)),1,0)</f>
        <v>0</v>
      </c>
      <c r="T39" s="118">
        <f>MAX($T$3:T38)+AND(G39&gt;=LARGE($G$4:$G$105,15),J39=MIN($J$4:$J$105))</f>
        <v>0</v>
      </c>
      <c r="U39" s="22"/>
    </row>
    <row r="40" spans="2:21">
      <c r="B40" s="16">
        <f t="shared" si="2"/>
        <v>37</v>
      </c>
      <c r="C40" s="16" t="s">
        <v>61</v>
      </c>
      <c r="D40" s="17">
        <v>42269</v>
      </c>
      <c r="E40" s="18">
        <v>52000</v>
      </c>
      <c r="F40" s="18">
        <v>7770.0000000000009</v>
      </c>
      <c r="G40" s="18">
        <v>2460</v>
      </c>
      <c r="H40" s="19" t="s">
        <v>32</v>
      </c>
      <c r="I40" s="19">
        <v>5</v>
      </c>
      <c r="J40" s="20">
        <v>3</v>
      </c>
      <c r="P40" s="117">
        <f t="shared" si="1"/>
        <v>57200</v>
      </c>
      <c r="Q40" s="21">
        <f t="shared" si="0"/>
        <v>0</v>
      </c>
      <c r="R40" s="21">
        <f>MAX($R$3:R39)+IF(AND(E40&lt;P40,Q40&gt;0,I40&lt;=SMALL($I$4:$I$105,1)),1,0)</f>
        <v>2</v>
      </c>
      <c r="S40" s="21">
        <f>MAX($S$3:S39)+IF(AND(E40&gt;P40,J40=MIN($J$4:$J$105),I40&lt;=LARGE($I$4:$I$105,1)),1,0)</f>
        <v>0</v>
      </c>
      <c r="T40" s="118">
        <f>MAX($T$3:T39)+AND(G40&gt;=LARGE($G$4:$G$105,15),J40=MIN($J$4:$J$105))</f>
        <v>0</v>
      </c>
      <c r="U40" s="22"/>
    </row>
    <row r="41" spans="2:21">
      <c r="B41" s="16">
        <f t="shared" si="2"/>
        <v>38</v>
      </c>
      <c r="C41" s="16" t="s">
        <v>62</v>
      </c>
      <c r="D41" s="17">
        <v>41870</v>
      </c>
      <c r="E41" s="18">
        <v>52000</v>
      </c>
      <c r="F41" s="18">
        <v>7290</v>
      </c>
      <c r="G41" s="18">
        <v>540</v>
      </c>
      <c r="H41" s="19" t="s">
        <v>24</v>
      </c>
      <c r="I41" s="19">
        <v>3</v>
      </c>
      <c r="J41" s="20">
        <v>1</v>
      </c>
      <c r="P41" s="117">
        <f t="shared" si="1"/>
        <v>58000</v>
      </c>
      <c r="Q41" s="21">
        <f t="shared" si="0"/>
        <v>0</v>
      </c>
      <c r="R41" s="21">
        <f>MAX($R$3:R40)+IF(AND(E41&lt;P41,Q41&gt;0,I41&lt;=SMALL($I$4:$I$105,1)),1,0)</f>
        <v>2</v>
      </c>
      <c r="S41" s="21">
        <f>MAX($S$3:S40)+IF(AND(E41&gt;P41,J41=MIN($J$4:$J$105),I41&lt;=LARGE($I$4:$I$105,1)),1,0)</f>
        <v>0</v>
      </c>
      <c r="T41" s="118">
        <f>MAX($T$3:T40)+AND(G41&gt;=LARGE($G$4:$G$105,15),J41=MIN($J$4:$J$105))</f>
        <v>0</v>
      </c>
      <c r="U41" s="22"/>
    </row>
    <row r="42" spans="2:21">
      <c r="B42" s="16">
        <f t="shared" si="2"/>
        <v>39</v>
      </c>
      <c r="C42" s="16" t="s">
        <v>63</v>
      </c>
      <c r="D42" s="17">
        <v>41723</v>
      </c>
      <c r="E42" s="18">
        <v>52000</v>
      </c>
      <c r="F42" s="18">
        <v>5850</v>
      </c>
      <c r="G42" s="18">
        <v>3420.0000000000005</v>
      </c>
      <c r="H42" s="19" t="s">
        <v>27</v>
      </c>
      <c r="I42" s="19">
        <v>2</v>
      </c>
      <c r="J42" s="20">
        <v>5</v>
      </c>
      <c r="K42" s="23"/>
      <c r="L42" s="23"/>
      <c r="M42" s="23"/>
      <c r="N42" s="23"/>
      <c r="O42" s="23"/>
      <c r="P42" s="117">
        <f t="shared" si="1"/>
        <v>66071.428571428565</v>
      </c>
      <c r="Q42" s="21">
        <f t="shared" si="0"/>
        <v>5</v>
      </c>
      <c r="R42" s="21">
        <f>MAX($R$3:R41)+IF(AND(E42&lt;P42,Q42&gt;0,I42&lt;=SMALL($I$4:$I$105,1)),1,0)</f>
        <v>2</v>
      </c>
      <c r="S42" s="21">
        <f>MAX($S$3:S41)+IF(AND(E42&gt;P42,J42=MIN($J$4:$J$105),I42&lt;=LARGE($I$4:$I$105,1)),1,0)</f>
        <v>0</v>
      </c>
      <c r="T42" s="118">
        <f>MAX($T$3:T41)+AND(G42&gt;=LARGE($G$4:$G$105,15),J42=MIN($J$4:$J$105))</f>
        <v>0</v>
      </c>
      <c r="U42" s="22"/>
    </row>
    <row r="43" spans="2:21">
      <c r="B43" s="16">
        <f t="shared" si="2"/>
        <v>40</v>
      </c>
      <c r="C43" s="16" t="s">
        <v>64</v>
      </c>
      <c r="D43" s="17">
        <v>41628</v>
      </c>
      <c r="E43" s="18">
        <v>55000</v>
      </c>
      <c r="F43" s="18">
        <v>7680</v>
      </c>
      <c r="G43" s="18">
        <v>2100</v>
      </c>
      <c r="H43" s="19" t="s">
        <v>21</v>
      </c>
      <c r="I43" s="19">
        <v>1</v>
      </c>
      <c r="J43" s="20">
        <v>3</v>
      </c>
      <c r="P43" s="117">
        <f t="shared" si="1"/>
        <v>57444.444444444445</v>
      </c>
      <c r="Q43" s="21">
        <f t="shared" si="0"/>
        <v>0</v>
      </c>
      <c r="R43" s="21">
        <f>MAX($R$3:R42)+IF(AND(E43&lt;P43,Q43&gt;0,I43&lt;=SMALL($I$4:$I$105,1)),1,0)</f>
        <v>2</v>
      </c>
      <c r="S43" s="21">
        <f>MAX($S$3:S42)+IF(AND(E43&gt;P43,J43=MIN($J$4:$J$105),I43&lt;=LARGE($I$4:$I$105,1)),1,0)</f>
        <v>0</v>
      </c>
      <c r="T43" s="118">
        <f>MAX($T$3:T42)+AND(G43&gt;=LARGE($G$4:$G$105,15),J43=MIN($J$4:$J$105))</f>
        <v>0</v>
      </c>
      <c r="U43" s="22"/>
    </row>
    <row r="44" spans="2:21">
      <c r="B44" s="16">
        <f t="shared" si="2"/>
        <v>41</v>
      </c>
      <c r="C44" s="16" t="s">
        <v>65</v>
      </c>
      <c r="D44" s="17">
        <v>41968</v>
      </c>
      <c r="E44" s="18">
        <v>56000</v>
      </c>
      <c r="F44" s="18">
        <v>2610</v>
      </c>
      <c r="G44" s="18">
        <v>3700.0000000000005</v>
      </c>
      <c r="H44" s="19" t="s">
        <v>27</v>
      </c>
      <c r="I44" s="19">
        <v>6</v>
      </c>
      <c r="J44" s="20">
        <v>2</v>
      </c>
      <c r="P44" s="117">
        <f t="shared" si="1"/>
        <v>66071.428571428565</v>
      </c>
      <c r="Q44" s="21">
        <f t="shared" si="0"/>
        <v>0</v>
      </c>
      <c r="R44" s="21">
        <f>MAX($R$3:R43)+IF(AND(E44&lt;P44,Q44&gt;0,I44&lt;=SMALL($I$4:$I$105,1)),1,0)</f>
        <v>2</v>
      </c>
      <c r="S44" s="21">
        <f>MAX($S$3:S43)+IF(AND(E44&gt;P44,J44=MIN($J$4:$J$105),I44&lt;=LARGE($I$4:$I$105,1)),1,0)</f>
        <v>0</v>
      </c>
      <c r="T44" s="118">
        <f>MAX($T$3:T43)+AND(G44&gt;=LARGE($G$4:$G$105,15),J44=MIN($J$4:$J$105))</f>
        <v>0</v>
      </c>
      <c r="U44" s="22"/>
    </row>
    <row r="45" spans="2:21">
      <c r="B45" s="16">
        <f t="shared" si="2"/>
        <v>42</v>
      </c>
      <c r="C45" s="16" t="s">
        <v>66</v>
      </c>
      <c r="D45" s="17">
        <v>42114</v>
      </c>
      <c r="E45" s="18">
        <v>57000</v>
      </c>
      <c r="F45" s="18">
        <v>36050</v>
      </c>
      <c r="G45" s="18">
        <v>60</v>
      </c>
      <c r="H45" s="19" t="s">
        <v>43</v>
      </c>
      <c r="I45" s="19">
        <v>5</v>
      </c>
      <c r="J45" s="20">
        <v>5</v>
      </c>
      <c r="K45" s="23"/>
      <c r="L45" s="23"/>
      <c r="M45" s="23"/>
      <c r="N45" s="23"/>
      <c r="O45" s="23"/>
      <c r="P45" s="117">
        <f t="shared" si="1"/>
        <v>64692.307692307695</v>
      </c>
      <c r="Q45" s="21">
        <f t="shared" si="0"/>
        <v>5</v>
      </c>
      <c r="R45" s="21">
        <f>MAX($R$3:R44)+IF(AND(E45&lt;P45,Q45&gt;0,I45&lt;=SMALL($I$4:$I$105,1)),1,0)</f>
        <v>2</v>
      </c>
      <c r="S45" s="21">
        <f>MAX($S$3:S44)+IF(AND(E45&gt;P45,J45=MIN($J$4:$J$105),I45&lt;=LARGE($I$4:$I$105,1)),1,0)</f>
        <v>0</v>
      </c>
      <c r="T45" s="118">
        <f>MAX($T$3:T44)+AND(G45&gt;=LARGE($G$4:$G$105,15),J45=MIN($J$4:$J$105))</f>
        <v>0</v>
      </c>
      <c r="U45" s="22"/>
    </row>
    <row r="46" spans="2:21">
      <c r="B46" s="16">
        <f t="shared" si="2"/>
        <v>43</v>
      </c>
      <c r="C46" s="16" t="s">
        <v>67</v>
      </c>
      <c r="D46" s="17">
        <v>41585</v>
      </c>
      <c r="E46" s="18">
        <v>57000</v>
      </c>
      <c r="F46" s="18">
        <v>6350</v>
      </c>
      <c r="G46" s="18">
        <v>590</v>
      </c>
      <c r="H46" s="19" t="s">
        <v>24</v>
      </c>
      <c r="I46" s="19">
        <v>2</v>
      </c>
      <c r="J46" s="20">
        <v>1</v>
      </c>
      <c r="P46" s="117">
        <f t="shared" si="1"/>
        <v>58000</v>
      </c>
      <c r="Q46" s="21">
        <f t="shared" si="0"/>
        <v>0</v>
      </c>
      <c r="R46" s="21">
        <f>MAX($R$3:R45)+IF(AND(E46&lt;P46,Q46&gt;0,I46&lt;=SMALL($I$4:$I$105,1)),1,0)</f>
        <v>2</v>
      </c>
      <c r="S46" s="21">
        <f>MAX($S$3:S45)+IF(AND(E46&gt;P46,J46=MIN($J$4:$J$105),I46&lt;=LARGE($I$4:$I$105,1)),1,0)</f>
        <v>0</v>
      </c>
      <c r="T46" s="118">
        <f>MAX($T$3:T45)+AND(G46&gt;=LARGE($G$4:$G$105,15),J46=MIN($J$4:$J$105))</f>
        <v>0</v>
      </c>
      <c r="U46" s="22"/>
    </row>
    <row r="47" spans="2:21">
      <c r="B47" s="16">
        <f t="shared" si="2"/>
        <v>44</v>
      </c>
      <c r="C47" s="16" t="s">
        <v>68</v>
      </c>
      <c r="D47" s="17">
        <v>41769</v>
      </c>
      <c r="E47" s="18">
        <v>58000</v>
      </c>
      <c r="F47" s="18">
        <v>6450</v>
      </c>
      <c r="G47" s="18">
        <v>3840.0000000000005</v>
      </c>
      <c r="H47" s="19" t="s">
        <v>19</v>
      </c>
      <c r="I47" s="19">
        <v>3</v>
      </c>
      <c r="J47" s="20">
        <v>2</v>
      </c>
      <c r="P47" s="117">
        <f t="shared" si="1"/>
        <v>69538.461538461532</v>
      </c>
      <c r="Q47" s="21">
        <f t="shared" si="0"/>
        <v>0</v>
      </c>
      <c r="R47" s="21">
        <f>MAX($R$3:R46)+IF(AND(E47&lt;P47,Q47&gt;0,I47&lt;=SMALL($I$4:$I$105,1)),1,0)</f>
        <v>2</v>
      </c>
      <c r="S47" s="21">
        <f>MAX($S$3:S46)+IF(AND(E47&gt;P47,J47=MIN($J$4:$J$105),I47&lt;=LARGE($I$4:$I$105,1)),1,0)</f>
        <v>0</v>
      </c>
      <c r="T47" s="118">
        <f>MAX($T$3:T46)+AND(G47&gt;=LARGE($G$4:$G$105,15),J47=MIN($J$4:$J$105))</f>
        <v>0</v>
      </c>
      <c r="U47" s="22"/>
    </row>
    <row r="48" spans="2:21">
      <c r="B48" s="16">
        <f t="shared" si="2"/>
        <v>45</v>
      </c>
      <c r="C48" s="16" t="s">
        <v>69</v>
      </c>
      <c r="D48" s="17">
        <v>41727</v>
      </c>
      <c r="E48" s="18">
        <v>58000</v>
      </c>
      <c r="F48" s="18">
        <v>2670</v>
      </c>
      <c r="G48" s="18">
        <v>4380</v>
      </c>
      <c r="H48" s="19" t="s">
        <v>19</v>
      </c>
      <c r="I48" s="19">
        <v>1</v>
      </c>
      <c r="J48" s="20">
        <v>2</v>
      </c>
      <c r="P48" s="117">
        <f t="shared" si="1"/>
        <v>69538.461538461532</v>
      </c>
      <c r="Q48" s="21">
        <f t="shared" si="0"/>
        <v>0</v>
      </c>
      <c r="R48" s="21">
        <f>MAX($R$3:R47)+IF(AND(E48&lt;P48,Q48&gt;0,I48&lt;=SMALL($I$4:$I$105,1)),1,0)</f>
        <v>2</v>
      </c>
      <c r="S48" s="21">
        <f>MAX($S$3:S47)+IF(AND(E48&gt;P48,J48=MIN($J$4:$J$105),I48&lt;=LARGE($I$4:$I$105,1)),1,0)</f>
        <v>0</v>
      </c>
      <c r="T48" s="118">
        <f>MAX($T$3:T47)+AND(G48&gt;=LARGE($G$4:$G$105,15),J48=MIN($J$4:$J$105))</f>
        <v>0</v>
      </c>
      <c r="U48" s="22"/>
    </row>
    <row r="49" spans="2:21">
      <c r="B49" s="16">
        <f t="shared" si="2"/>
        <v>46</v>
      </c>
      <c r="C49" s="16" t="s">
        <v>70</v>
      </c>
      <c r="D49" s="17">
        <v>42214</v>
      </c>
      <c r="E49" s="18">
        <v>58000</v>
      </c>
      <c r="F49" s="18">
        <v>6450</v>
      </c>
      <c r="G49" s="18">
        <v>4920</v>
      </c>
      <c r="H49" s="19" t="s">
        <v>32</v>
      </c>
      <c r="I49" s="19">
        <v>3</v>
      </c>
      <c r="J49" s="20">
        <v>5</v>
      </c>
      <c r="P49" s="117">
        <f t="shared" si="1"/>
        <v>57200</v>
      </c>
      <c r="Q49" s="21">
        <f t="shared" si="0"/>
        <v>5</v>
      </c>
      <c r="R49" s="21">
        <f>MAX($R$3:R48)+IF(AND(E49&lt;P49,Q49&gt;0,I49&lt;=SMALL($I$4:$I$105,1)),1,0)</f>
        <v>2</v>
      </c>
      <c r="S49" s="21">
        <f>MAX($S$3:S48)+IF(AND(E49&gt;P49,J49=MIN($J$4:$J$105),I49&lt;=LARGE($I$4:$I$105,1)),1,0)</f>
        <v>0</v>
      </c>
      <c r="T49" s="118">
        <f>MAX($T$3:T48)+AND(G49&gt;=LARGE($G$4:$G$105,15),J49=MIN($J$4:$J$105))</f>
        <v>0</v>
      </c>
      <c r="U49" s="22"/>
    </row>
    <row r="50" spans="2:21">
      <c r="B50" s="16">
        <f t="shared" si="2"/>
        <v>47</v>
      </c>
      <c r="C50" s="16" t="s">
        <v>71</v>
      </c>
      <c r="D50" s="17">
        <v>42254</v>
      </c>
      <c r="E50" s="18">
        <v>58000</v>
      </c>
      <c r="F50" s="18">
        <v>9150</v>
      </c>
      <c r="G50" s="18">
        <v>1680</v>
      </c>
      <c r="H50" s="19" t="s">
        <v>27</v>
      </c>
      <c r="I50" s="19">
        <v>3</v>
      </c>
      <c r="J50" s="20">
        <v>1</v>
      </c>
      <c r="P50" s="117">
        <f t="shared" si="1"/>
        <v>66071.428571428565</v>
      </c>
      <c r="Q50" s="21">
        <f t="shared" si="0"/>
        <v>0</v>
      </c>
      <c r="R50" s="21">
        <f>MAX($R$3:R49)+IF(AND(E50&lt;P50,Q50&gt;0,I50&lt;=SMALL($I$4:$I$105,1)),1,0)</f>
        <v>2</v>
      </c>
      <c r="S50" s="21">
        <f>MAX($S$3:S49)+IF(AND(E50&gt;P50,J50=MIN($J$4:$J$105),I50&lt;=LARGE($I$4:$I$105,1)),1,0)</f>
        <v>0</v>
      </c>
      <c r="T50" s="118">
        <f>MAX($T$3:T49)+AND(G50&gt;=LARGE($G$4:$G$105,15),J50=MIN($J$4:$J$105))</f>
        <v>0</v>
      </c>
      <c r="U50" s="22"/>
    </row>
    <row r="51" spans="2:21">
      <c r="B51" s="16">
        <f t="shared" si="2"/>
        <v>48</v>
      </c>
      <c r="C51" s="16" t="s">
        <v>72</v>
      </c>
      <c r="D51" s="17">
        <v>42063</v>
      </c>
      <c r="E51" s="18">
        <v>59000</v>
      </c>
      <c r="F51" s="18">
        <v>2150</v>
      </c>
      <c r="G51" s="18">
        <v>60</v>
      </c>
      <c r="H51" s="19" t="s">
        <v>39</v>
      </c>
      <c r="I51" s="19">
        <v>5</v>
      </c>
      <c r="J51" s="20">
        <v>3</v>
      </c>
      <c r="P51" s="117">
        <f t="shared" si="1"/>
        <v>68133.333333333328</v>
      </c>
      <c r="Q51" s="21">
        <f t="shared" si="0"/>
        <v>0</v>
      </c>
      <c r="R51" s="21">
        <f>MAX($R$3:R50)+IF(AND(E51&lt;P51,Q51&gt;0,I51&lt;=SMALL($I$4:$I$105,1)),1,0)</f>
        <v>2</v>
      </c>
      <c r="S51" s="21">
        <f>MAX($S$3:S50)+IF(AND(E51&gt;P51,J51=MIN($J$4:$J$105),I51&lt;=LARGE($I$4:$I$105,1)),1,0)</f>
        <v>0</v>
      </c>
      <c r="T51" s="118">
        <f>MAX($T$3:T50)+AND(G51&gt;=LARGE($G$4:$G$105,15),J51=MIN($J$4:$J$105))</f>
        <v>0</v>
      </c>
      <c r="U51" s="22"/>
    </row>
    <row r="52" spans="2:21">
      <c r="B52" s="16">
        <f t="shared" si="2"/>
        <v>49</v>
      </c>
      <c r="C52" s="16" t="s">
        <v>73</v>
      </c>
      <c r="D52" s="17">
        <v>41870</v>
      </c>
      <c r="E52" s="18">
        <v>61000</v>
      </c>
      <c r="F52" s="18">
        <v>5040</v>
      </c>
      <c r="G52" s="18">
        <v>630</v>
      </c>
      <c r="H52" s="19" t="s">
        <v>17</v>
      </c>
      <c r="I52" s="19">
        <v>3</v>
      </c>
      <c r="J52" s="20">
        <v>3</v>
      </c>
      <c r="P52" s="117">
        <f t="shared" si="1"/>
        <v>55400</v>
      </c>
      <c r="Q52" s="21">
        <f t="shared" si="0"/>
        <v>0</v>
      </c>
      <c r="R52" s="21">
        <f>MAX($R$3:R51)+IF(AND(E52&lt;P52,Q52&gt;0,I52&lt;=SMALL($I$4:$I$105,1)),1,0)</f>
        <v>2</v>
      </c>
      <c r="S52" s="21">
        <f>MAX($S$3:S51)+IF(AND(E52&gt;P52,J52=MIN($J$4:$J$105),I52&lt;=LARGE($I$4:$I$105,1)),1,0)</f>
        <v>0</v>
      </c>
      <c r="T52" s="118">
        <f>MAX($T$3:T51)+AND(G52&gt;=LARGE($G$4:$G$105,15),J52=MIN($J$4:$J$105))</f>
        <v>0</v>
      </c>
      <c r="U52" s="22"/>
    </row>
    <row r="53" spans="2:21">
      <c r="B53" s="16">
        <f t="shared" si="2"/>
        <v>50</v>
      </c>
      <c r="C53" s="16" t="s">
        <v>74</v>
      </c>
      <c r="D53" s="17">
        <v>41839</v>
      </c>
      <c r="E53" s="18">
        <v>61000</v>
      </c>
      <c r="F53" s="18">
        <v>6180</v>
      </c>
      <c r="G53" s="18">
        <v>3480</v>
      </c>
      <c r="H53" s="19" t="s">
        <v>24</v>
      </c>
      <c r="I53" s="19">
        <v>6</v>
      </c>
      <c r="J53" s="20">
        <v>1</v>
      </c>
      <c r="P53" s="117">
        <f t="shared" si="1"/>
        <v>58000</v>
      </c>
      <c r="Q53" s="21">
        <f t="shared" si="0"/>
        <v>0</v>
      </c>
      <c r="R53" s="21">
        <f>MAX($R$3:R52)+IF(AND(E53&lt;P53,Q53&gt;0,I53&lt;=SMALL($I$4:$I$105,1)),1,0)</f>
        <v>2</v>
      </c>
      <c r="S53" s="21">
        <f>MAX($S$3:S52)+IF(AND(E53&gt;P53,J53=MIN($J$4:$J$105),I53&lt;=LARGE($I$4:$I$105,1)),1,0)</f>
        <v>1</v>
      </c>
      <c r="T53" s="118">
        <f>MAX($T$3:T52)+AND(G53&gt;=LARGE($G$4:$G$105,15),J53=MIN($J$4:$J$105))</f>
        <v>0</v>
      </c>
      <c r="U53" s="22"/>
    </row>
    <row r="54" spans="2:21">
      <c r="B54" s="16">
        <f t="shared" si="2"/>
        <v>51</v>
      </c>
      <c r="C54" s="16" t="s">
        <v>75</v>
      </c>
      <c r="D54" s="17">
        <v>42148</v>
      </c>
      <c r="E54" s="18">
        <v>62000</v>
      </c>
      <c r="F54" s="18">
        <v>6270</v>
      </c>
      <c r="G54" s="18">
        <v>5280</v>
      </c>
      <c r="H54" s="19" t="s">
        <v>17</v>
      </c>
      <c r="I54" s="19">
        <v>6</v>
      </c>
      <c r="J54" s="20">
        <v>4</v>
      </c>
      <c r="P54" s="117">
        <f t="shared" si="1"/>
        <v>55400</v>
      </c>
      <c r="Q54" s="21">
        <f t="shared" si="0"/>
        <v>0</v>
      </c>
      <c r="R54" s="21">
        <f>MAX($R$3:R53)+IF(AND(E54&lt;P54,Q54&gt;0,I54&lt;=SMALL($I$4:$I$105,1)),1,0)</f>
        <v>2</v>
      </c>
      <c r="S54" s="21">
        <f>MAX($S$3:S53)+IF(AND(E54&gt;P54,J54=MIN($J$4:$J$105),I54&lt;=LARGE($I$4:$I$105,1)),1,0)</f>
        <v>1</v>
      </c>
      <c r="T54" s="118">
        <f>MAX($T$3:T53)+AND(G54&gt;=LARGE($G$4:$G$105,15),J54=MIN($J$4:$J$105))</f>
        <v>0</v>
      </c>
      <c r="U54" s="22"/>
    </row>
    <row r="55" spans="2:21">
      <c r="B55" s="16">
        <f t="shared" si="2"/>
        <v>52</v>
      </c>
      <c r="C55" s="16" t="s">
        <v>76</v>
      </c>
      <c r="D55" s="17">
        <v>41778</v>
      </c>
      <c r="E55" s="18">
        <v>63000</v>
      </c>
      <c r="F55" s="18">
        <v>9900</v>
      </c>
      <c r="G55" s="18">
        <v>60</v>
      </c>
      <c r="H55" s="19" t="s">
        <v>21</v>
      </c>
      <c r="I55" s="19">
        <v>2</v>
      </c>
      <c r="J55" s="20">
        <v>4</v>
      </c>
      <c r="P55" s="117">
        <f t="shared" si="1"/>
        <v>57444.444444444445</v>
      </c>
      <c r="Q55" s="21">
        <f t="shared" si="0"/>
        <v>0</v>
      </c>
      <c r="R55" s="21">
        <f>MAX($R$3:R54)+IF(AND(E55&lt;P55,Q55&gt;0,I55&lt;=SMALL($I$4:$I$105,1)),1,0)</f>
        <v>2</v>
      </c>
      <c r="S55" s="21">
        <f>MAX($S$3:S54)+IF(AND(E55&gt;P55,J55=MIN($J$4:$J$105),I55&lt;=LARGE($I$4:$I$105,1)),1,0)</f>
        <v>1</v>
      </c>
      <c r="T55" s="118">
        <f>MAX($T$3:T54)+AND(G55&gt;=LARGE($G$4:$G$105,15),J55=MIN($J$4:$J$105))</f>
        <v>0</v>
      </c>
      <c r="U55" s="22"/>
    </row>
    <row r="56" spans="2:21">
      <c r="B56" s="16">
        <f t="shared" si="2"/>
        <v>53</v>
      </c>
      <c r="C56" s="16" t="s">
        <v>77</v>
      </c>
      <c r="D56" s="17">
        <v>42033</v>
      </c>
      <c r="E56" s="18">
        <v>63000</v>
      </c>
      <c r="F56" s="18">
        <v>6950</v>
      </c>
      <c r="G56" s="18">
        <v>60</v>
      </c>
      <c r="H56" s="19" t="s">
        <v>39</v>
      </c>
      <c r="I56" s="19">
        <v>6</v>
      </c>
      <c r="J56" s="20">
        <v>4</v>
      </c>
      <c r="P56" s="117">
        <f t="shared" si="1"/>
        <v>68133.333333333328</v>
      </c>
      <c r="Q56" s="21">
        <f t="shared" si="0"/>
        <v>0</v>
      </c>
      <c r="R56" s="21">
        <f>MAX($R$3:R55)+IF(AND(E56&lt;P56,Q56&gt;0,I56&lt;=SMALL($I$4:$I$105,1)),1,0)</f>
        <v>2</v>
      </c>
      <c r="S56" s="21">
        <f>MAX($S$3:S55)+IF(AND(E56&gt;P56,J56=MIN($J$4:$J$105),I56&lt;=LARGE($I$4:$I$105,1)),1,0)</f>
        <v>1</v>
      </c>
      <c r="T56" s="118">
        <f>MAX($T$3:T55)+AND(G56&gt;=LARGE($G$4:$G$105,15),J56=MIN($J$4:$J$105))</f>
        <v>0</v>
      </c>
      <c r="U56" s="22"/>
    </row>
    <row r="57" spans="2:21">
      <c r="B57" s="16">
        <f t="shared" si="2"/>
        <v>54</v>
      </c>
      <c r="C57" s="16" t="s">
        <v>78</v>
      </c>
      <c r="D57" s="17">
        <v>41952</v>
      </c>
      <c r="E57" s="18">
        <v>63000</v>
      </c>
      <c r="F57" s="18">
        <v>6360</v>
      </c>
      <c r="G57" s="18">
        <v>650</v>
      </c>
      <c r="H57" s="19" t="s">
        <v>39</v>
      </c>
      <c r="I57" s="19">
        <v>1</v>
      </c>
      <c r="J57" s="20">
        <v>5</v>
      </c>
      <c r="K57" s="23"/>
      <c r="L57" s="23"/>
      <c r="M57" s="23"/>
      <c r="N57" s="23"/>
      <c r="O57" s="23"/>
      <c r="P57" s="117">
        <f t="shared" si="1"/>
        <v>68133.333333333328</v>
      </c>
      <c r="Q57" s="21">
        <f t="shared" si="0"/>
        <v>5</v>
      </c>
      <c r="R57" s="21">
        <f>MAX($R$3:R56)+IF(AND(E57&lt;P57,Q57&gt;0,I57&lt;=SMALL($I$4:$I$105,1)),1,0)</f>
        <v>3</v>
      </c>
      <c r="S57" s="21">
        <f>MAX($S$3:S56)+IF(AND(E57&gt;P57,J57=MIN($J$4:$J$105),I57&lt;=LARGE($I$4:$I$105,1)),1,0)</f>
        <v>1</v>
      </c>
      <c r="T57" s="118">
        <f>MAX($T$3:T56)+AND(G57&gt;=LARGE($G$4:$G$105,15),J57=MIN($J$4:$J$105))</f>
        <v>0</v>
      </c>
      <c r="U57" s="22"/>
    </row>
    <row r="58" spans="2:21">
      <c r="B58" s="16">
        <f t="shared" si="2"/>
        <v>55</v>
      </c>
      <c r="C58" s="16" t="s">
        <v>79</v>
      </c>
      <c r="D58" s="17">
        <v>42175</v>
      </c>
      <c r="E58" s="18">
        <v>63000</v>
      </c>
      <c r="F58" s="18">
        <v>8130</v>
      </c>
      <c r="G58" s="18">
        <v>1240</v>
      </c>
      <c r="H58" s="19" t="s">
        <v>30</v>
      </c>
      <c r="I58" s="19">
        <v>3</v>
      </c>
      <c r="J58" s="20">
        <v>2</v>
      </c>
      <c r="P58" s="117">
        <f t="shared" si="1"/>
        <v>63400</v>
      </c>
      <c r="Q58" s="21">
        <f t="shared" si="0"/>
        <v>0</v>
      </c>
      <c r="R58" s="21">
        <f>MAX($R$3:R57)+IF(AND(E58&lt;P58,Q58&gt;0,I58&lt;=SMALL($I$4:$I$105,1)),1,0)</f>
        <v>3</v>
      </c>
      <c r="S58" s="21">
        <f>MAX($S$3:S57)+IF(AND(E58&gt;P58,J58=MIN($J$4:$J$105),I58&lt;=LARGE($I$4:$I$105,1)),1,0)</f>
        <v>1</v>
      </c>
      <c r="T58" s="118">
        <f>MAX($T$3:T57)+AND(G58&gt;=LARGE($G$4:$G$105,15),J58=MIN($J$4:$J$105))</f>
        <v>0</v>
      </c>
      <c r="U58" s="22"/>
    </row>
    <row r="59" spans="2:21">
      <c r="B59" s="16">
        <f t="shared" si="2"/>
        <v>56</v>
      </c>
      <c r="C59" s="16" t="s">
        <v>80</v>
      </c>
      <c r="D59" s="17">
        <v>41940</v>
      </c>
      <c r="E59" s="18">
        <v>64000</v>
      </c>
      <c r="F59" s="18">
        <v>9450</v>
      </c>
      <c r="G59" s="18">
        <v>60</v>
      </c>
      <c r="H59" s="19" t="s">
        <v>43</v>
      </c>
      <c r="I59" s="19">
        <v>5</v>
      </c>
      <c r="J59" s="20">
        <v>5</v>
      </c>
      <c r="K59" s="23"/>
      <c r="L59" s="23"/>
      <c r="M59" s="23"/>
      <c r="N59" s="23"/>
      <c r="O59" s="23"/>
      <c r="P59" s="117">
        <f t="shared" si="1"/>
        <v>64692.307692307695</v>
      </c>
      <c r="Q59" s="21">
        <f t="shared" si="0"/>
        <v>5</v>
      </c>
      <c r="R59" s="21">
        <f>MAX($R$3:R58)+IF(AND(E59&lt;P59,Q59&gt;0,I59&lt;=SMALL($I$4:$I$105,1)),1,0)</f>
        <v>3</v>
      </c>
      <c r="S59" s="21">
        <f>MAX($S$3:S58)+IF(AND(E59&gt;P59,J59=MIN($J$4:$J$105),I59&lt;=LARGE($I$4:$I$105,1)),1,0)</f>
        <v>1</v>
      </c>
      <c r="T59" s="118">
        <f>MAX($T$3:T58)+AND(G59&gt;=LARGE($G$4:$G$105,15),J59=MIN($J$4:$J$105))</f>
        <v>0</v>
      </c>
      <c r="U59" s="22"/>
    </row>
    <row r="60" spans="2:21">
      <c r="B60" s="16">
        <f t="shared" si="2"/>
        <v>57</v>
      </c>
      <c r="C60" s="16" t="s">
        <v>81</v>
      </c>
      <c r="D60" s="17">
        <v>41805</v>
      </c>
      <c r="E60" s="18">
        <v>66000</v>
      </c>
      <c r="F60" s="18">
        <v>9110</v>
      </c>
      <c r="G60" s="18">
        <v>3160</v>
      </c>
      <c r="H60" s="19" t="s">
        <v>27</v>
      </c>
      <c r="I60" s="19">
        <v>6</v>
      </c>
      <c r="J60" s="20">
        <v>5</v>
      </c>
      <c r="K60" s="23"/>
      <c r="P60" s="117">
        <f t="shared" si="1"/>
        <v>66071.428571428565</v>
      </c>
      <c r="Q60" s="21">
        <f t="shared" si="0"/>
        <v>5</v>
      </c>
      <c r="R60" s="21">
        <f>MAX($R$3:R59)+IF(AND(E60&lt;P60,Q60&gt;0,I60&lt;=SMALL($I$4:$I$105,1)),1,0)</f>
        <v>3</v>
      </c>
      <c r="S60" s="21">
        <f>MAX($S$3:S59)+IF(AND(E60&gt;P60,J60=MIN($J$4:$J$105),I60&lt;=LARGE($I$4:$I$105,1)),1,0)</f>
        <v>1</v>
      </c>
      <c r="T60" s="118">
        <f>MAX($T$3:T59)+AND(G60&gt;=LARGE($G$4:$G$105,15),J60=MIN($J$4:$J$105))</f>
        <v>0</v>
      </c>
      <c r="U60" s="22"/>
    </row>
    <row r="61" spans="2:21">
      <c r="B61" s="16">
        <f t="shared" si="2"/>
        <v>58</v>
      </c>
      <c r="C61" s="16" t="s">
        <v>82</v>
      </c>
      <c r="D61" s="17">
        <v>41730</v>
      </c>
      <c r="E61" s="18">
        <v>66000</v>
      </c>
      <c r="F61" s="18">
        <v>9110</v>
      </c>
      <c r="G61" s="18">
        <v>1300</v>
      </c>
      <c r="H61" s="19" t="s">
        <v>17</v>
      </c>
      <c r="I61" s="19">
        <v>5</v>
      </c>
      <c r="J61" s="20">
        <v>2</v>
      </c>
      <c r="P61" s="117">
        <f t="shared" si="1"/>
        <v>55400</v>
      </c>
      <c r="Q61" s="21">
        <f t="shared" si="0"/>
        <v>0</v>
      </c>
      <c r="R61" s="21">
        <f>MAX($R$3:R60)+IF(AND(E61&lt;P61,Q61&gt;0,I61&lt;=SMALL($I$4:$I$105,1)),1,0)</f>
        <v>3</v>
      </c>
      <c r="S61" s="21">
        <f>MAX($S$3:S60)+IF(AND(E61&gt;P61,J61=MIN($J$4:$J$105),I61&lt;=LARGE($I$4:$I$105,1)),1,0)</f>
        <v>1</v>
      </c>
      <c r="T61" s="118">
        <f>MAX($T$3:T60)+AND(G61&gt;=LARGE($G$4:$G$105,15),J61=MIN($J$4:$J$105))</f>
        <v>0</v>
      </c>
      <c r="U61" s="22"/>
    </row>
    <row r="62" spans="2:21">
      <c r="B62" s="16">
        <f t="shared" si="2"/>
        <v>59</v>
      </c>
      <c r="C62" s="16" t="s">
        <v>83</v>
      </c>
      <c r="D62" s="17">
        <v>42205</v>
      </c>
      <c r="E62" s="18">
        <v>67000</v>
      </c>
      <c r="F62" s="18">
        <v>8610</v>
      </c>
      <c r="G62" s="18">
        <v>4470</v>
      </c>
      <c r="H62" s="19" t="s">
        <v>39</v>
      </c>
      <c r="I62" s="19">
        <v>1</v>
      </c>
      <c r="J62" s="20">
        <v>3</v>
      </c>
      <c r="P62" s="117">
        <f t="shared" si="1"/>
        <v>68133.333333333328</v>
      </c>
      <c r="Q62" s="21">
        <f t="shared" si="0"/>
        <v>0</v>
      </c>
      <c r="R62" s="21">
        <f>MAX($R$3:R61)+IF(AND(E62&lt;P62,Q62&gt;0,I62&lt;=SMALL($I$4:$I$105,1)),1,0)</f>
        <v>3</v>
      </c>
      <c r="S62" s="21">
        <f>MAX($S$3:S61)+IF(AND(E62&gt;P62,J62=MIN($J$4:$J$105),I62&lt;=LARGE($I$4:$I$105,1)),1,0)</f>
        <v>1</v>
      </c>
      <c r="T62" s="118">
        <f>MAX($T$3:T61)+AND(G62&gt;=LARGE($G$4:$G$105,15),J62=MIN($J$4:$J$105))</f>
        <v>0</v>
      </c>
      <c r="U62" s="22"/>
    </row>
    <row r="63" spans="2:21">
      <c r="B63" s="16">
        <f t="shared" si="2"/>
        <v>60</v>
      </c>
      <c r="C63" s="16" t="s">
        <v>84</v>
      </c>
      <c r="D63" s="17">
        <v>42066</v>
      </c>
      <c r="E63" s="18">
        <v>67000</v>
      </c>
      <c r="F63" s="18">
        <v>8610</v>
      </c>
      <c r="G63" s="18">
        <v>60</v>
      </c>
      <c r="H63" s="19" t="s">
        <v>39</v>
      </c>
      <c r="I63" s="19">
        <v>3</v>
      </c>
      <c r="J63" s="20">
        <v>2</v>
      </c>
      <c r="P63" s="117">
        <f t="shared" si="1"/>
        <v>68133.333333333328</v>
      </c>
      <c r="Q63" s="21">
        <f t="shared" si="0"/>
        <v>0</v>
      </c>
      <c r="R63" s="21">
        <f>MAX($R$3:R62)+IF(AND(E63&lt;P63,Q63&gt;0,I63&lt;=SMALL($I$4:$I$105,1)),1,0)</f>
        <v>3</v>
      </c>
      <c r="S63" s="21">
        <f>MAX($S$3:S62)+IF(AND(E63&gt;P63,J63=MIN($J$4:$J$105),I63&lt;=LARGE($I$4:$I$105,1)),1,0)</f>
        <v>1</v>
      </c>
      <c r="T63" s="118">
        <f>MAX($T$3:T62)+AND(G63&gt;=LARGE($G$4:$G$105,15),J63=MIN($J$4:$J$105))</f>
        <v>0</v>
      </c>
      <c r="U63" s="22"/>
    </row>
    <row r="64" spans="2:21">
      <c r="B64" s="16">
        <f t="shared" si="2"/>
        <v>61</v>
      </c>
      <c r="C64" s="16" t="s">
        <v>85</v>
      </c>
      <c r="D64" s="17">
        <v>42163</v>
      </c>
      <c r="E64" s="18">
        <v>67000</v>
      </c>
      <c r="F64" s="18">
        <v>4200</v>
      </c>
      <c r="G64" s="18">
        <v>3840</v>
      </c>
      <c r="H64" s="19" t="s">
        <v>32</v>
      </c>
      <c r="I64" s="19">
        <v>4</v>
      </c>
      <c r="J64" s="20">
        <v>3</v>
      </c>
      <c r="P64" s="117">
        <f t="shared" si="1"/>
        <v>57200</v>
      </c>
      <c r="Q64" s="21">
        <f t="shared" si="0"/>
        <v>0</v>
      </c>
      <c r="R64" s="21">
        <f>MAX($R$3:R63)+IF(AND(E64&lt;P64,Q64&gt;0,I64&lt;=SMALL($I$4:$I$105,1)),1,0)</f>
        <v>3</v>
      </c>
      <c r="S64" s="21">
        <f>MAX($S$3:S63)+IF(AND(E64&gt;P64,J64=MIN($J$4:$J$105),I64&lt;=LARGE($I$4:$I$105,1)),1,0)</f>
        <v>1</v>
      </c>
      <c r="T64" s="118">
        <f>MAX($T$3:T63)+AND(G64&gt;=LARGE($G$4:$G$105,15),J64=MIN($J$4:$J$105))</f>
        <v>0</v>
      </c>
      <c r="U64" s="22"/>
    </row>
    <row r="65" spans="2:21">
      <c r="B65" s="16">
        <f t="shared" si="2"/>
        <v>62</v>
      </c>
      <c r="C65" s="16" t="s">
        <v>86</v>
      </c>
      <c r="D65" s="17">
        <v>41752</v>
      </c>
      <c r="E65" s="18">
        <v>68000</v>
      </c>
      <c r="F65" s="18">
        <v>3610</v>
      </c>
      <c r="G65" s="18">
        <v>60</v>
      </c>
      <c r="H65" s="19" t="s">
        <v>19</v>
      </c>
      <c r="I65" s="19">
        <v>4</v>
      </c>
      <c r="J65" s="20">
        <v>1</v>
      </c>
      <c r="P65" s="117">
        <f t="shared" si="1"/>
        <v>69538.461538461532</v>
      </c>
      <c r="Q65" s="21">
        <f t="shared" si="0"/>
        <v>0</v>
      </c>
      <c r="R65" s="21">
        <f>MAX($R$3:R64)+IF(AND(E65&lt;P65,Q65&gt;0,I65&lt;=SMALL($I$4:$I$105,1)),1,0)</f>
        <v>3</v>
      </c>
      <c r="S65" s="21">
        <f>MAX($S$3:S64)+IF(AND(E65&gt;P65,J65=MIN($J$4:$J$105),I65&lt;=LARGE($I$4:$I$105,1)),1,0)</f>
        <v>1</v>
      </c>
      <c r="T65" s="118">
        <f>MAX($T$3:T64)+AND(G65&gt;=LARGE($G$4:$G$105,15),J65=MIN($J$4:$J$105))</f>
        <v>0</v>
      </c>
      <c r="U65" s="22"/>
    </row>
    <row r="66" spans="2:21">
      <c r="B66" s="16">
        <f t="shared" si="2"/>
        <v>63</v>
      </c>
      <c r="C66" s="16" t="s">
        <v>87</v>
      </c>
      <c r="D66" s="17">
        <v>41604</v>
      </c>
      <c r="E66" s="18">
        <v>68000</v>
      </c>
      <c r="F66" s="18">
        <v>9370</v>
      </c>
      <c r="G66" s="18">
        <v>5180</v>
      </c>
      <c r="H66" s="19" t="s">
        <v>19</v>
      </c>
      <c r="I66" s="19">
        <v>5</v>
      </c>
      <c r="J66" s="20">
        <v>1</v>
      </c>
      <c r="P66" s="117">
        <f t="shared" si="1"/>
        <v>69538.461538461532</v>
      </c>
      <c r="Q66" s="21">
        <f t="shared" si="0"/>
        <v>0</v>
      </c>
      <c r="R66" s="21">
        <f>MAX($R$3:R65)+IF(AND(E66&lt;P66,Q66&gt;0,I66&lt;=SMALL($I$4:$I$105,1)),1,0)</f>
        <v>3</v>
      </c>
      <c r="S66" s="21">
        <f>MAX($S$3:S65)+IF(AND(E66&gt;P66,J66=MIN($J$4:$J$105),I66&lt;=LARGE($I$4:$I$105,1)),1,0)</f>
        <v>1</v>
      </c>
      <c r="T66" s="118">
        <f>MAX($T$3:T65)+AND(G66&gt;=LARGE($G$4:$G$105,15),J66=MIN($J$4:$J$105))</f>
        <v>1</v>
      </c>
      <c r="U66" s="22"/>
    </row>
    <row r="67" spans="2:21">
      <c r="B67" s="16">
        <f t="shared" si="2"/>
        <v>64</v>
      </c>
      <c r="C67" s="16" t="s">
        <v>88</v>
      </c>
      <c r="D67" s="17">
        <v>41747</v>
      </c>
      <c r="E67" s="18">
        <v>68000</v>
      </c>
      <c r="F67" s="18">
        <v>6810</v>
      </c>
      <c r="G67" s="18">
        <v>60</v>
      </c>
      <c r="H67" s="19" t="s">
        <v>39</v>
      </c>
      <c r="I67" s="19">
        <v>1</v>
      </c>
      <c r="J67" s="20">
        <v>3</v>
      </c>
      <c r="P67" s="117">
        <f t="shared" si="1"/>
        <v>68133.333333333328</v>
      </c>
      <c r="Q67" s="21">
        <f t="shared" si="0"/>
        <v>0</v>
      </c>
      <c r="R67" s="21">
        <f>MAX($R$3:R66)+IF(AND(E67&lt;P67,Q67&gt;0,I67&lt;=SMALL($I$4:$I$105,1)),1,0)</f>
        <v>3</v>
      </c>
      <c r="S67" s="21">
        <f>MAX($S$3:S66)+IF(AND(E67&gt;P67,J67=MIN($J$4:$J$105),I67&lt;=LARGE($I$4:$I$105,1)),1,0)</f>
        <v>1</v>
      </c>
      <c r="T67" s="118">
        <f>MAX($T$3:T66)+AND(G67&gt;=LARGE($G$4:$G$105,15),J67=MIN($J$4:$J$105))</f>
        <v>1</v>
      </c>
      <c r="U67" s="22"/>
    </row>
    <row r="68" spans="2:21">
      <c r="B68" s="16">
        <f t="shared" si="2"/>
        <v>65</v>
      </c>
      <c r="C68" s="16" t="s">
        <v>89</v>
      </c>
      <c r="D68" s="17">
        <v>41858</v>
      </c>
      <c r="E68" s="18">
        <v>69000</v>
      </c>
      <c r="F68" s="18">
        <v>4950</v>
      </c>
      <c r="G68" s="18">
        <v>60</v>
      </c>
      <c r="H68" s="19" t="s">
        <v>24</v>
      </c>
      <c r="I68" s="19">
        <v>6</v>
      </c>
      <c r="J68" s="20">
        <v>5</v>
      </c>
      <c r="P68" s="117">
        <f t="shared" si="1"/>
        <v>58000</v>
      </c>
      <c r="Q68" s="21">
        <f t="shared" si="0"/>
        <v>5</v>
      </c>
      <c r="R68" s="21">
        <f>MAX($R$3:R67)+IF(AND(E68&lt;P68,Q68&gt;0,I68&lt;=SMALL($I$4:$I$105,1)),1,0)</f>
        <v>3</v>
      </c>
      <c r="S68" s="21">
        <f>MAX($S$3:S67)+IF(AND(E68&gt;P68,J68=MIN($J$4:$J$105),I68&lt;=LARGE($I$4:$I$105,1)),1,0)</f>
        <v>1</v>
      </c>
      <c r="T68" s="118">
        <f>MAX($T$3:T67)+AND(G68&gt;=LARGE($G$4:$G$105,15),J68=MIN($J$4:$J$105))</f>
        <v>1</v>
      </c>
      <c r="U68" s="22"/>
    </row>
    <row r="69" spans="2:21">
      <c r="B69" s="16">
        <f t="shared" si="2"/>
        <v>66</v>
      </c>
      <c r="C69" s="16" t="s">
        <v>90</v>
      </c>
      <c r="D69" s="17">
        <v>41778</v>
      </c>
      <c r="E69" s="18">
        <v>69000</v>
      </c>
      <c r="F69" s="18">
        <v>2350</v>
      </c>
      <c r="G69" s="18">
        <v>1360</v>
      </c>
      <c r="H69" s="19" t="s">
        <v>21</v>
      </c>
      <c r="I69" s="19">
        <v>4</v>
      </c>
      <c r="J69" s="20">
        <v>2</v>
      </c>
      <c r="P69" s="117">
        <f t="shared" si="1"/>
        <v>57444.444444444445</v>
      </c>
      <c r="Q69" s="21">
        <f t="shared" ref="Q69:Q103" si="3">IF(J69=MAX($J$4:$J$105),J69,0)</f>
        <v>0</v>
      </c>
      <c r="R69" s="21">
        <f>MAX($R$3:R68)+IF(AND(E69&lt;P69,Q69&gt;0,I69&lt;=SMALL($I$4:$I$105,1)),1,0)</f>
        <v>3</v>
      </c>
      <c r="S69" s="21">
        <f>MAX($S$3:S68)+IF(AND(E69&gt;P69,J69=MIN($J$4:$J$105),I69&lt;=LARGE($I$4:$I$105,1)),1,0)</f>
        <v>1</v>
      </c>
      <c r="T69" s="118">
        <f>MAX($T$3:T68)+AND(G69&gt;=LARGE($G$4:$G$105,15),J69=MIN($J$4:$J$105))</f>
        <v>1</v>
      </c>
      <c r="U69" s="22"/>
    </row>
    <row r="70" spans="2:21">
      <c r="B70" s="16">
        <f t="shared" si="2"/>
        <v>67</v>
      </c>
      <c r="C70" s="16" t="s">
        <v>91</v>
      </c>
      <c r="D70" s="17">
        <v>42231</v>
      </c>
      <c r="E70" s="18">
        <v>70000</v>
      </c>
      <c r="F70" s="18">
        <v>3690</v>
      </c>
      <c r="G70" s="18">
        <v>1380</v>
      </c>
      <c r="H70" s="19" t="s">
        <v>32</v>
      </c>
      <c r="I70" s="19">
        <v>1</v>
      </c>
      <c r="J70" s="20">
        <v>3</v>
      </c>
      <c r="P70" s="117">
        <f t="shared" ref="P70:P103" si="4">AVERAGEIF($H$4:$H$105,H70,$E$4:$E$105)</f>
        <v>57200</v>
      </c>
      <c r="Q70" s="21">
        <f t="shared" si="3"/>
        <v>0</v>
      </c>
      <c r="R70" s="21">
        <f>MAX($R$3:R69)+IF(AND(E70&lt;P70,Q70&gt;0,I70&lt;=SMALL($I$4:$I$105,1)),1,0)</f>
        <v>3</v>
      </c>
      <c r="S70" s="21">
        <f>MAX($S$3:S69)+IF(AND(E70&gt;P70,J70=MIN($J$4:$J$105),I70&lt;=LARGE($I$4:$I$105,1)),1,0)</f>
        <v>1</v>
      </c>
      <c r="T70" s="118">
        <f>MAX($T$3:T69)+AND(G70&gt;=LARGE($G$4:$G$105,15),J70=MIN($J$4:$J$105))</f>
        <v>1</v>
      </c>
      <c r="U70" s="22"/>
    </row>
    <row r="71" spans="2:21">
      <c r="B71" s="16">
        <f t="shared" si="2"/>
        <v>68</v>
      </c>
      <c r="C71" s="16" t="s">
        <v>92</v>
      </c>
      <c r="D71" s="17">
        <v>41590</v>
      </c>
      <c r="E71" s="18">
        <v>70000</v>
      </c>
      <c r="F71" s="18">
        <v>2370</v>
      </c>
      <c r="G71" s="18">
        <v>2040</v>
      </c>
      <c r="H71" s="19" t="s">
        <v>24</v>
      </c>
      <c r="I71" s="19">
        <v>3</v>
      </c>
      <c r="J71" s="20">
        <v>4</v>
      </c>
      <c r="P71" s="117">
        <f t="shared" si="4"/>
        <v>58000</v>
      </c>
      <c r="Q71" s="21">
        <f t="shared" si="3"/>
        <v>0</v>
      </c>
      <c r="R71" s="21">
        <f>MAX($R$3:R70)+IF(AND(E71&lt;P71,Q71&gt;0,I71&lt;=SMALL($I$4:$I$105,1)),1,0)</f>
        <v>3</v>
      </c>
      <c r="S71" s="21">
        <f>MAX($S$3:S70)+IF(AND(E71&gt;P71,J71=MIN($J$4:$J$105),I71&lt;=LARGE($I$4:$I$105,1)),1,0)</f>
        <v>1</v>
      </c>
      <c r="T71" s="118">
        <f>MAX($T$3:T70)+AND(G71&gt;=LARGE($G$4:$G$105,15),J71=MIN($J$4:$J$105))</f>
        <v>1</v>
      </c>
      <c r="U71" s="22"/>
    </row>
    <row r="72" spans="2:21">
      <c r="B72" s="16">
        <f t="shared" si="2"/>
        <v>69</v>
      </c>
      <c r="C72" s="16" t="s">
        <v>93</v>
      </c>
      <c r="D72" s="17">
        <v>41936</v>
      </c>
      <c r="E72" s="18">
        <v>71000</v>
      </c>
      <c r="F72" s="18">
        <v>42050</v>
      </c>
      <c r="G72" s="18">
        <v>60</v>
      </c>
      <c r="H72" s="19" t="s">
        <v>43</v>
      </c>
      <c r="I72" s="19">
        <v>2</v>
      </c>
      <c r="J72" s="20">
        <v>3</v>
      </c>
      <c r="P72" s="117">
        <f t="shared" si="4"/>
        <v>64692.307692307695</v>
      </c>
      <c r="Q72" s="21">
        <f t="shared" si="3"/>
        <v>0</v>
      </c>
      <c r="R72" s="21">
        <f>MAX($R$3:R71)+IF(AND(E72&lt;P72,Q72&gt;0,I72&lt;=SMALL($I$4:$I$105,1)),1,0)</f>
        <v>3</v>
      </c>
      <c r="S72" s="21">
        <f>MAX($S$3:S71)+IF(AND(E72&gt;P72,J72=MIN($J$4:$J$105),I72&lt;=LARGE($I$4:$I$105,1)),1,0)</f>
        <v>1</v>
      </c>
      <c r="T72" s="118">
        <f>MAX($T$3:T71)+AND(G72&gt;=LARGE($G$4:$G$105,15),J72=MIN($J$4:$J$105))</f>
        <v>1</v>
      </c>
      <c r="U72" s="22"/>
    </row>
    <row r="73" spans="2:21">
      <c r="B73" s="16">
        <f t="shared" ref="B73:B103" si="5">B72+1</f>
        <v>70</v>
      </c>
      <c r="C73" s="16" t="s">
        <v>94</v>
      </c>
      <c r="D73" s="17">
        <v>41672</v>
      </c>
      <c r="E73" s="18">
        <v>71000</v>
      </c>
      <c r="F73" s="18">
        <v>9090</v>
      </c>
      <c r="G73" s="18">
        <v>3410</v>
      </c>
      <c r="H73" s="19" t="s">
        <v>17</v>
      </c>
      <c r="I73" s="19">
        <v>3</v>
      </c>
      <c r="J73" s="20">
        <v>1</v>
      </c>
      <c r="P73" s="117">
        <f t="shared" si="4"/>
        <v>55400</v>
      </c>
      <c r="Q73" s="21">
        <f t="shared" si="3"/>
        <v>0</v>
      </c>
      <c r="R73" s="21">
        <f>MAX($R$3:R72)+IF(AND(E73&lt;P73,Q73&gt;0,I73&lt;=SMALL($I$4:$I$105,1)),1,0)</f>
        <v>3</v>
      </c>
      <c r="S73" s="21">
        <f>MAX($S$3:S72)+IF(AND(E73&gt;P73,J73=MIN($J$4:$J$105),I73&lt;=LARGE($I$4:$I$105,1)),1,0)</f>
        <v>2</v>
      </c>
      <c r="T73" s="118">
        <f>MAX($T$3:T72)+AND(G73&gt;=LARGE($G$4:$G$105,15),J73=MIN($J$4:$J$105))</f>
        <v>1</v>
      </c>
      <c r="U73" s="22"/>
    </row>
    <row r="74" spans="2:21">
      <c r="B74" s="16">
        <f t="shared" si="5"/>
        <v>71</v>
      </c>
      <c r="C74" s="16" t="s">
        <v>95</v>
      </c>
      <c r="D74" s="17">
        <v>42087</v>
      </c>
      <c r="E74" s="18">
        <v>72000</v>
      </c>
      <c r="F74" s="18">
        <v>9890</v>
      </c>
      <c r="G74" s="18">
        <v>5500</v>
      </c>
      <c r="H74" s="19" t="s">
        <v>21</v>
      </c>
      <c r="I74" s="19">
        <v>3</v>
      </c>
      <c r="J74" s="20">
        <v>3</v>
      </c>
      <c r="P74" s="117">
        <f t="shared" si="4"/>
        <v>57444.444444444445</v>
      </c>
      <c r="Q74" s="21">
        <f t="shared" si="3"/>
        <v>0</v>
      </c>
      <c r="R74" s="21">
        <f>MAX($R$3:R73)+IF(AND(E74&lt;P74,Q74&gt;0,I74&lt;=SMALL($I$4:$I$105,1)),1,0)</f>
        <v>3</v>
      </c>
      <c r="S74" s="21">
        <f>MAX($S$3:S73)+IF(AND(E74&gt;P74,J74=MIN($J$4:$J$105),I74&lt;=LARGE($I$4:$I$105,1)),1,0)</f>
        <v>2</v>
      </c>
      <c r="T74" s="118">
        <f>MAX($T$3:T73)+AND(G74&gt;=LARGE($G$4:$G$105,15),J74=MIN($J$4:$J$105))</f>
        <v>1</v>
      </c>
      <c r="U74" s="22"/>
    </row>
    <row r="75" spans="2:21">
      <c r="B75" s="16">
        <f t="shared" si="5"/>
        <v>72</v>
      </c>
      <c r="C75" s="16" t="s">
        <v>96</v>
      </c>
      <c r="D75" s="17">
        <v>41733</v>
      </c>
      <c r="E75" s="18">
        <v>76000</v>
      </c>
      <c r="F75" s="18">
        <v>3930</v>
      </c>
      <c r="G75" s="18">
        <v>6540</v>
      </c>
      <c r="H75" s="19" t="s">
        <v>27</v>
      </c>
      <c r="I75" s="19">
        <v>2</v>
      </c>
      <c r="J75" s="20">
        <v>1</v>
      </c>
      <c r="P75" s="117">
        <f t="shared" si="4"/>
        <v>66071.428571428565</v>
      </c>
      <c r="Q75" s="21">
        <f t="shared" si="3"/>
        <v>0</v>
      </c>
      <c r="R75" s="21">
        <f>MAX($R$3:R74)+IF(AND(E75&lt;P75,Q75&gt;0,I75&lt;=SMALL($I$4:$I$105,1)),1,0)</f>
        <v>3</v>
      </c>
      <c r="S75" s="21">
        <f>MAX($S$3:S74)+IF(AND(E75&gt;P75,J75=MIN($J$4:$J$105),I75&lt;=LARGE($I$4:$I$105,1)),1,0)</f>
        <v>3</v>
      </c>
      <c r="T75" s="118">
        <f>MAX($T$3:T74)+AND(G75&gt;=LARGE($G$4:$G$105,15),J75=MIN($J$4:$J$105))</f>
        <v>2</v>
      </c>
      <c r="U75" s="22"/>
    </row>
    <row r="76" spans="2:21">
      <c r="B76" s="16">
        <f t="shared" si="5"/>
        <v>73</v>
      </c>
      <c r="C76" s="16" t="s">
        <v>97</v>
      </c>
      <c r="D76" s="17">
        <v>41847</v>
      </c>
      <c r="E76" s="18">
        <v>76000</v>
      </c>
      <c r="F76" s="18">
        <v>3210</v>
      </c>
      <c r="G76" s="18">
        <v>2940</v>
      </c>
      <c r="H76" s="19" t="s">
        <v>32</v>
      </c>
      <c r="I76" s="19">
        <v>4</v>
      </c>
      <c r="J76" s="20">
        <v>5</v>
      </c>
      <c r="P76" s="117">
        <f t="shared" si="4"/>
        <v>57200</v>
      </c>
      <c r="Q76" s="21">
        <f t="shared" si="3"/>
        <v>5</v>
      </c>
      <c r="R76" s="21">
        <f>MAX($R$3:R75)+IF(AND(E76&lt;P76,Q76&gt;0,I76&lt;=SMALL($I$4:$I$105,1)),1,0)</f>
        <v>3</v>
      </c>
      <c r="S76" s="21">
        <f>MAX($S$3:S75)+IF(AND(E76&gt;P76,J76=MIN($J$4:$J$105),I76&lt;=LARGE($I$4:$I$105,1)),1,0)</f>
        <v>3</v>
      </c>
      <c r="T76" s="118">
        <f>MAX($T$3:T75)+AND(G76&gt;=LARGE($G$4:$G$105,15),J76=MIN($J$4:$J$105))</f>
        <v>2</v>
      </c>
      <c r="U76" s="22"/>
    </row>
    <row r="77" spans="2:21">
      <c r="B77" s="16">
        <f t="shared" si="5"/>
        <v>74</v>
      </c>
      <c r="C77" s="16" t="s">
        <v>98</v>
      </c>
      <c r="D77" s="17">
        <v>41877</v>
      </c>
      <c r="E77" s="18">
        <v>77000</v>
      </c>
      <c r="F77" s="18">
        <v>2510</v>
      </c>
      <c r="G77" s="18">
        <v>5170.0000000000009</v>
      </c>
      <c r="H77" s="19" t="s">
        <v>39</v>
      </c>
      <c r="I77" s="19">
        <v>6</v>
      </c>
      <c r="J77" s="20">
        <v>1</v>
      </c>
      <c r="P77" s="117">
        <f t="shared" si="4"/>
        <v>68133.333333333328</v>
      </c>
      <c r="Q77" s="21">
        <f t="shared" si="3"/>
        <v>0</v>
      </c>
      <c r="R77" s="21">
        <f>MAX($R$3:R76)+IF(AND(E77&lt;P77,Q77&gt;0,I77&lt;=SMALL($I$4:$I$105,1)),1,0)</f>
        <v>3</v>
      </c>
      <c r="S77" s="21">
        <f>MAX($S$3:S76)+IF(AND(E77&gt;P77,J77=MIN($J$4:$J$105),I77&lt;=LARGE($I$4:$I$105,1)),1,0)</f>
        <v>4</v>
      </c>
      <c r="T77" s="118">
        <f>MAX($T$3:T76)+AND(G77&gt;=LARGE($G$4:$G$105,15),J77=MIN($J$4:$J$105))</f>
        <v>3</v>
      </c>
      <c r="U77" s="22"/>
    </row>
    <row r="78" spans="2:21">
      <c r="B78" s="16">
        <f t="shared" si="5"/>
        <v>75</v>
      </c>
      <c r="C78" s="16" t="s">
        <v>99</v>
      </c>
      <c r="D78" s="17">
        <v>41585</v>
      </c>
      <c r="E78" s="18">
        <v>78000</v>
      </c>
      <c r="F78" s="18">
        <v>9190</v>
      </c>
      <c r="G78" s="18">
        <v>2280</v>
      </c>
      <c r="H78" s="19" t="s">
        <v>32</v>
      </c>
      <c r="I78" s="19">
        <v>4</v>
      </c>
      <c r="J78" s="20">
        <v>1</v>
      </c>
      <c r="P78" s="117">
        <f t="shared" si="4"/>
        <v>57200</v>
      </c>
      <c r="Q78" s="21">
        <f t="shared" si="3"/>
        <v>0</v>
      </c>
      <c r="R78" s="21">
        <f>MAX($R$3:R77)+IF(AND(E78&lt;P78,Q78&gt;0,I78&lt;=SMALL($I$4:$I$105,1)),1,0)</f>
        <v>3</v>
      </c>
      <c r="S78" s="21">
        <f>MAX($S$3:S77)+IF(AND(E78&gt;P78,J78=MIN($J$4:$J$105),I78&lt;=LARGE($I$4:$I$105,1)),1,0)</f>
        <v>5</v>
      </c>
      <c r="T78" s="118">
        <f>MAX($T$3:T77)+AND(G78&gt;=LARGE($G$4:$G$105,15),J78=MIN($J$4:$J$105))</f>
        <v>3</v>
      </c>
      <c r="U78" s="22"/>
    </row>
    <row r="79" spans="2:21">
      <c r="B79" s="16">
        <f t="shared" si="5"/>
        <v>76</v>
      </c>
      <c r="C79" s="16" t="s">
        <v>100</v>
      </c>
      <c r="D79" s="17">
        <v>42156</v>
      </c>
      <c r="E79" s="18">
        <v>79000</v>
      </c>
      <c r="F79" s="18">
        <v>10800</v>
      </c>
      <c r="G79" s="18">
        <v>1560</v>
      </c>
      <c r="H79" s="19" t="s">
        <v>19</v>
      </c>
      <c r="I79" s="19">
        <v>4</v>
      </c>
      <c r="J79" s="20">
        <v>1</v>
      </c>
      <c r="P79" s="117">
        <f t="shared" si="4"/>
        <v>69538.461538461532</v>
      </c>
      <c r="Q79" s="21">
        <f t="shared" si="3"/>
        <v>0</v>
      </c>
      <c r="R79" s="21">
        <f>MAX($R$3:R78)+IF(AND(E79&lt;P79,Q79&gt;0,I79&lt;=SMALL($I$4:$I$105,1)),1,0)</f>
        <v>3</v>
      </c>
      <c r="S79" s="21">
        <f>MAX($S$3:S78)+IF(AND(E79&gt;P79,J79=MIN($J$4:$J$105),I79&lt;=LARGE($I$4:$I$105,1)),1,0)</f>
        <v>6</v>
      </c>
      <c r="T79" s="118">
        <f>MAX($T$3:T78)+AND(G79&gt;=LARGE($G$4:$G$105,15),J79=MIN($J$4:$J$105))</f>
        <v>3</v>
      </c>
      <c r="U79" s="22"/>
    </row>
    <row r="80" spans="2:21">
      <c r="B80" s="16">
        <f t="shared" si="5"/>
        <v>77</v>
      </c>
      <c r="C80" s="16" t="s">
        <v>101</v>
      </c>
      <c r="D80" s="17">
        <v>41862</v>
      </c>
      <c r="E80" s="18">
        <v>80000</v>
      </c>
      <c r="F80" s="18">
        <v>8650</v>
      </c>
      <c r="G80" s="18">
        <v>2340</v>
      </c>
      <c r="H80" s="19" t="s">
        <v>27</v>
      </c>
      <c r="I80" s="19">
        <v>4</v>
      </c>
      <c r="J80" s="20">
        <v>1</v>
      </c>
      <c r="P80" s="117">
        <f t="shared" si="4"/>
        <v>66071.428571428565</v>
      </c>
      <c r="Q80" s="21">
        <f t="shared" si="3"/>
        <v>0</v>
      </c>
      <c r="R80" s="21">
        <f>MAX($R$3:R79)+IF(AND(E80&lt;P80,Q80&gt;0,I80&lt;=SMALL($I$4:$I$105,1)),1,0)</f>
        <v>3</v>
      </c>
      <c r="S80" s="21">
        <f>MAX($S$3:S79)+IF(AND(E80&gt;P80,J80=MIN($J$4:$J$105),I80&lt;=LARGE($I$4:$I$105,1)),1,0)</f>
        <v>7</v>
      </c>
      <c r="T80" s="118">
        <f>MAX($T$3:T79)+AND(G80&gt;=LARGE($G$4:$G$105,15),J80=MIN($J$4:$J$105))</f>
        <v>3</v>
      </c>
      <c r="U80" s="22"/>
    </row>
    <row r="81" spans="2:21">
      <c r="B81" s="16">
        <f t="shared" si="5"/>
        <v>78</v>
      </c>
      <c r="C81" s="16" t="s">
        <v>102</v>
      </c>
      <c r="D81" s="17">
        <v>41740</v>
      </c>
      <c r="E81" s="18">
        <v>81000</v>
      </c>
      <c r="F81" s="18">
        <v>12600</v>
      </c>
      <c r="G81" s="18">
        <v>60</v>
      </c>
      <c r="H81" s="19" t="s">
        <v>39</v>
      </c>
      <c r="I81" s="19">
        <v>4</v>
      </c>
      <c r="J81" s="20">
        <v>4</v>
      </c>
      <c r="P81" s="117">
        <f t="shared" si="4"/>
        <v>68133.333333333328</v>
      </c>
      <c r="Q81" s="21">
        <f t="shared" si="3"/>
        <v>0</v>
      </c>
      <c r="R81" s="21">
        <f>MAX($R$3:R80)+IF(AND(E81&lt;P81,Q81&gt;0,I81&lt;=SMALL($I$4:$I$105,1)),1,0)</f>
        <v>3</v>
      </c>
      <c r="S81" s="21">
        <f>MAX($S$3:S80)+IF(AND(E81&gt;P81,J81=MIN($J$4:$J$105),I81&lt;=LARGE($I$4:$I$105,1)),1,0)</f>
        <v>7</v>
      </c>
      <c r="T81" s="118">
        <f>MAX($T$3:T80)+AND(G81&gt;=LARGE($G$4:$G$105,15),J81=MIN($J$4:$J$105))</f>
        <v>3</v>
      </c>
      <c r="U81" s="22"/>
    </row>
    <row r="82" spans="2:21">
      <c r="B82" s="16">
        <f t="shared" si="5"/>
        <v>79</v>
      </c>
      <c r="C82" s="16" t="s">
        <v>103</v>
      </c>
      <c r="D82" s="17">
        <v>41825</v>
      </c>
      <c r="E82" s="18">
        <v>81000</v>
      </c>
      <c r="F82" s="18">
        <v>6440.0000000000009</v>
      </c>
      <c r="G82" s="18">
        <v>60</v>
      </c>
      <c r="H82" s="19" t="s">
        <v>27</v>
      </c>
      <c r="I82" s="19">
        <v>6</v>
      </c>
      <c r="J82" s="20">
        <v>1</v>
      </c>
      <c r="P82" s="117">
        <f t="shared" si="4"/>
        <v>66071.428571428565</v>
      </c>
      <c r="Q82" s="21">
        <f t="shared" si="3"/>
        <v>0</v>
      </c>
      <c r="R82" s="21">
        <f>MAX($R$3:R81)+IF(AND(E82&lt;P82,Q82&gt;0,I82&lt;=SMALL($I$4:$I$105,1)),1,0)</f>
        <v>3</v>
      </c>
      <c r="S82" s="21">
        <f>MAX($S$3:S81)+IF(AND(E82&gt;P82,J82=MIN($J$4:$J$105),I82&lt;=LARGE($I$4:$I$105,1)),1,0)</f>
        <v>8</v>
      </c>
      <c r="T82" s="118">
        <f>MAX($T$3:T81)+AND(G82&gt;=LARGE($G$4:$G$105,15),J82=MIN($J$4:$J$105))</f>
        <v>3</v>
      </c>
      <c r="U82" s="22"/>
    </row>
    <row r="83" spans="2:21">
      <c r="B83" s="16">
        <f t="shared" si="5"/>
        <v>80</v>
      </c>
      <c r="C83" s="16" t="s">
        <v>104</v>
      </c>
      <c r="D83" s="17">
        <v>41884</v>
      </c>
      <c r="E83" s="18">
        <v>81000</v>
      </c>
      <c r="F83" s="18">
        <v>29050</v>
      </c>
      <c r="G83" s="18">
        <v>60</v>
      </c>
      <c r="H83" s="19" t="s">
        <v>43</v>
      </c>
      <c r="I83" s="19">
        <v>5</v>
      </c>
      <c r="J83" s="20">
        <v>5</v>
      </c>
      <c r="P83" s="117">
        <f t="shared" si="4"/>
        <v>64692.307692307695</v>
      </c>
      <c r="Q83" s="21">
        <f t="shared" si="3"/>
        <v>5</v>
      </c>
      <c r="R83" s="21">
        <f>MAX($R$3:R82)+IF(AND(E83&lt;P83,Q83&gt;0,I83&lt;=SMALL($I$4:$I$105,1)),1,0)</f>
        <v>3</v>
      </c>
      <c r="S83" s="21">
        <f>MAX($S$3:S82)+IF(AND(E83&gt;P83,J83=MIN($J$4:$J$105),I83&lt;=LARGE($I$4:$I$105,1)),1,0)</f>
        <v>8</v>
      </c>
      <c r="T83" s="118">
        <f>MAX($T$3:T82)+AND(G83&gt;=LARGE($G$4:$G$105,15),J83=MIN($J$4:$J$105))</f>
        <v>3</v>
      </c>
      <c r="U83" s="22"/>
    </row>
    <row r="84" spans="2:21">
      <c r="B84" s="16">
        <f t="shared" si="5"/>
        <v>81</v>
      </c>
      <c r="C84" s="16" t="s">
        <v>105</v>
      </c>
      <c r="D84" s="17">
        <v>41727</v>
      </c>
      <c r="E84" s="18">
        <v>84000</v>
      </c>
      <c r="F84" s="18">
        <v>53050</v>
      </c>
      <c r="G84" s="18">
        <v>60</v>
      </c>
      <c r="H84" s="19" t="s">
        <v>43</v>
      </c>
      <c r="I84" s="19">
        <v>5</v>
      </c>
      <c r="J84" s="20">
        <v>5</v>
      </c>
      <c r="P84" s="117">
        <f t="shared" si="4"/>
        <v>64692.307692307695</v>
      </c>
      <c r="Q84" s="21">
        <f t="shared" si="3"/>
        <v>5</v>
      </c>
      <c r="R84" s="21">
        <f>MAX($R$3:R83)+IF(AND(E84&lt;P84,Q84&gt;0,I84&lt;=SMALL($I$4:$I$105,1)),1,0)</f>
        <v>3</v>
      </c>
      <c r="S84" s="21">
        <f>MAX($S$3:S83)+IF(AND(E84&gt;P84,J84=MIN($J$4:$J$105),I84&lt;=LARGE($I$4:$I$105,1)),1,0)</f>
        <v>8</v>
      </c>
      <c r="T84" s="118">
        <f>MAX($T$3:T83)+AND(G84&gt;=LARGE($G$4:$G$105,15),J84=MIN($J$4:$J$105))</f>
        <v>3</v>
      </c>
      <c r="U84" s="22"/>
    </row>
    <row r="85" spans="2:21">
      <c r="B85" s="16">
        <f t="shared" si="5"/>
        <v>82</v>
      </c>
      <c r="C85" s="16" t="s">
        <v>106</v>
      </c>
      <c r="D85" s="17">
        <v>41708</v>
      </c>
      <c r="E85" s="18">
        <v>85000</v>
      </c>
      <c r="F85" s="18">
        <v>5910</v>
      </c>
      <c r="G85" s="18">
        <v>60</v>
      </c>
      <c r="H85" s="19" t="s">
        <v>30</v>
      </c>
      <c r="I85" s="19">
        <v>3</v>
      </c>
      <c r="J85" s="20">
        <v>5</v>
      </c>
      <c r="P85" s="117">
        <f t="shared" si="4"/>
        <v>63400</v>
      </c>
      <c r="Q85" s="21">
        <f t="shared" si="3"/>
        <v>5</v>
      </c>
      <c r="R85" s="21">
        <f>MAX($R$3:R84)+IF(AND(E85&lt;P85,Q85&gt;0,I85&lt;=SMALL($I$4:$I$105,1)),1,0)</f>
        <v>3</v>
      </c>
      <c r="S85" s="21">
        <f>MAX($S$3:S84)+IF(AND(E85&gt;P85,J85=MIN($J$4:$J$105),I85&lt;=LARGE($I$4:$I$105,1)),1,0)</f>
        <v>8</v>
      </c>
      <c r="T85" s="118">
        <f>MAX($T$3:T84)+AND(G85&gt;=LARGE($G$4:$G$105,15),J85=MIN($J$4:$J$105))</f>
        <v>3</v>
      </c>
      <c r="U85" s="22"/>
    </row>
    <row r="86" spans="2:21">
      <c r="B86" s="16">
        <f t="shared" si="5"/>
        <v>83</v>
      </c>
      <c r="C86" s="16" t="s">
        <v>107</v>
      </c>
      <c r="D86" s="17">
        <v>42001</v>
      </c>
      <c r="E86" s="18">
        <v>87000</v>
      </c>
      <c r="F86" s="18">
        <v>33050</v>
      </c>
      <c r="G86" s="18">
        <v>60</v>
      </c>
      <c r="H86" s="19" t="s">
        <v>43</v>
      </c>
      <c r="I86" s="19">
        <v>6</v>
      </c>
      <c r="J86" s="20">
        <v>2</v>
      </c>
      <c r="P86" s="117">
        <f t="shared" si="4"/>
        <v>64692.307692307695</v>
      </c>
      <c r="Q86" s="21">
        <f t="shared" si="3"/>
        <v>0</v>
      </c>
      <c r="R86" s="21">
        <f>MAX($R$3:R85)+IF(AND(E86&lt;P86,Q86&gt;0,I86&lt;=SMALL($I$4:$I$105,1)),1,0)</f>
        <v>3</v>
      </c>
      <c r="S86" s="21">
        <f>MAX($S$3:S85)+IF(AND(E86&gt;P86,J86=MIN($J$4:$J$105),I86&lt;=LARGE($I$4:$I$105,1)),1,0)</f>
        <v>8</v>
      </c>
      <c r="T86" s="118">
        <f>MAX($T$3:T85)+AND(G86&gt;=LARGE($G$4:$G$105,15),J86=MIN($J$4:$J$105))</f>
        <v>3</v>
      </c>
      <c r="U86" s="22"/>
    </row>
    <row r="87" spans="2:21">
      <c r="B87" s="16">
        <f t="shared" si="5"/>
        <v>84</v>
      </c>
      <c r="C87" s="16" t="s">
        <v>108</v>
      </c>
      <c r="D87" s="17">
        <v>41848</v>
      </c>
      <c r="E87" s="18">
        <v>89000</v>
      </c>
      <c r="F87" s="18">
        <v>2750</v>
      </c>
      <c r="G87" s="18">
        <v>60</v>
      </c>
      <c r="H87" s="19" t="s">
        <v>39</v>
      </c>
      <c r="I87" s="19">
        <v>2</v>
      </c>
      <c r="J87" s="20">
        <v>4</v>
      </c>
      <c r="P87" s="117">
        <f t="shared" si="4"/>
        <v>68133.333333333328</v>
      </c>
      <c r="Q87" s="21">
        <f t="shared" si="3"/>
        <v>0</v>
      </c>
      <c r="R87" s="21">
        <f>MAX($R$3:R86)+IF(AND(E87&lt;P87,Q87&gt;0,I87&lt;=SMALL($I$4:$I$105,1)),1,0)</f>
        <v>3</v>
      </c>
      <c r="S87" s="21">
        <f>MAX($S$3:S86)+IF(AND(E87&gt;P87,J87=MIN($J$4:$J$105),I87&lt;=LARGE($I$4:$I$105,1)),1,0)</f>
        <v>8</v>
      </c>
      <c r="T87" s="118">
        <f>MAX($T$3:T86)+AND(G87&gt;=LARGE($G$4:$G$105,15),J87=MIN($J$4:$J$105))</f>
        <v>3</v>
      </c>
      <c r="U87" s="22"/>
    </row>
    <row r="88" spans="2:21">
      <c r="B88" s="16">
        <f t="shared" si="5"/>
        <v>85</v>
      </c>
      <c r="C88" s="16" t="s">
        <v>109</v>
      </c>
      <c r="D88" s="17">
        <v>41590</v>
      </c>
      <c r="E88" s="18">
        <v>89000</v>
      </c>
      <c r="F88" s="18">
        <v>10400</v>
      </c>
      <c r="G88" s="18">
        <v>60</v>
      </c>
      <c r="H88" s="19" t="s">
        <v>39</v>
      </c>
      <c r="I88" s="19">
        <v>1</v>
      </c>
      <c r="J88" s="20">
        <v>5</v>
      </c>
      <c r="P88" s="117">
        <f t="shared" si="4"/>
        <v>68133.333333333328</v>
      </c>
      <c r="Q88" s="21">
        <f t="shared" si="3"/>
        <v>5</v>
      </c>
      <c r="R88" s="21">
        <f>MAX($R$3:R87)+IF(AND(E88&lt;P88,Q88&gt;0,I88&lt;=SMALL($I$4:$I$105,1)),1,0)</f>
        <v>3</v>
      </c>
      <c r="S88" s="21">
        <f>MAX($S$3:S87)+IF(AND(E88&gt;P88,J88=MIN($J$4:$J$105),I88&lt;=LARGE($I$4:$I$105,1)),1,0)</f>
        <v>8</v>
      </c>
      <c r="T88" s="118">
        <f>MAX($T$3:T87)+AND(G88&gt;=LARGE($G$4:$G$105,15),J88=MIN($J$4:$J$105))</f>
        <v>3</v>
      </c>
      <c r="U88" s="22"/>
    </row>
    <row r="89" spans="2:21">
      <c r="B89" s="16">
        <f t="shared" si="5"/>
        <v>86</v>
      </c>
      <c r="C89" s="16" t="s">
        <v>110</v>
      </c>
      <c r="D89" s="17">
        <v>42184</v>
      </c>
      <c r="E89" s="18">
        <v>89000</v>
      </c>
      <c r="F89" s="18">
        <v>10400</v>
      </c>
      <c r="G89" s="18">
        <v>60</v>
      </c>
      <c r="H89" s="19" t="s">
        <v>39</v>
      </c>
      <c r="I89" s="19">
        <v>4</v>
      </c>
      <c r="J89" s="20">
        <v>4</v>
      </c>
      <c r="P89" s="117">
        <f t="shared" si="4"/>
        <v>68133.333333333328</v>
      </c>
      <c r="Q89" s="21">
        <f t="shared" si="3"/>
        <v>0</v>
      </c>
      <c r="R89" s="21">
        <f>MAX($R$3:R88)+IF(AND(E89&lt;P89,Q89&gt;0,I89&lt;=SMALL($I$4:$I$105,1)),1,0)</f>
        <v>3</v>
      </c>
      <c r="S89" s="21">
        <f>MAX($S$3:S88)+IF(AND(E89&gt;P89,J89=MIN($J$4:$J$105),I89&lt;=LARGE($I$4:$I$105,1)),1,0)</f>
        <v>8</v>
      </c>
      <c r="T89" s="118">
        <f>MAX($T$3:T88)+AND(G89&gt;=LARGE($G$4:$G$105,15),J89=MIN($J$4:$J$105))</f>
        <v>3</v>
      </c>
      <c r="U89" s="22"/>
    </row>
    <row r="90" spans="2:21">
      <c r="B90" s="16">
        <f t="shared" si="5"/>
        <v>87</v>
      </c>
      <c r="C90" s="16" t="s">
        <v>111</v>
      </c>
      <c r="D90" s="17">
        <v>41810</v>
      </c>
      <c r="E90" s="18">
        <v>91000</v>
      </c>
      <c r="F90" s="18">
        <v>8880</v>
      </c>
      <c r="G90" s="18">
        <v>7890</v>
      </c>
      <c r="H90" s="19" t="s">
        <v>30</v>
      </c>
      <c r="I90" s="19">
        <v>2</v>
      </c>
      <c r="J90" s="20">
        <v>4</v>
      </c>
      <c r="P90" s="117">
        <f t="shared" si="4"/>
        <v>63400</v>
      </c>
      <c r="Q90" s="21">
        <f t="shared" si="3"/>
        <v>0</v>
      </c>
      <c r="R90" s="21">
        <f>MAX($R$3:R89)+IF(AND(E90&lt;P90,Q90&gt;0,I90&lt;=SMALL($I$4:$I$105,1)),1,0)</f>
        <v>3</v>
      </c>
      <c r="S90" s="21">
        <f>MAX($S$3:S89)+IF(AND(E90&gt;P90,J90=MIN($J$4:$J$105),I90&lt;=LARGE($I$4:$I$105,1)),1,0)</f>
        <v>8</v>
      </c>
      <c r="T90" s="118">
        <f>MAX($T$3:T89)+AND(G90&gt;=LARGE($G$4:$G$105,15),J90=MIN($J$4:$J$105))</f>
        <v>3</v>
      </c>
      <c r="U90" s="22"/>
    </row>
    <row r="91" spans="2:21">
      <c r="B91" s="16">
        <f t="shared" si="5"/>
        <v>88</v>
      </c>
      <c r="C91" s="16" t="s">
        <v>112</v>
      </c>
      <c r="D91" s="17">
        <v>42010</v>
      </c>
      <c r="E91" s="18">
        <v>91000</v>
      </c>
      <c r="F91" s="18">
        <v>14100</v>
      </c>
      <c r="G91" s="18">
        <v>7020</v>
      </c>
      <c r="H91" s="19" t="s">
        <v>24</v>
      </c>
      <c r="I91" s="19">
        <v>4</v>
      </c>
      <c r="J91" s="20">
        <v>1</v>
      </c>
      <c r="P91" s="117">
        <f t="shared" si="4"/>
        <v>58000</v>
      </c>
      <c r="Q91" s="21">
        <f t="shared" si="3"/>
        <v>0</v>
      </c>
      <c r="R91" s="21">
        <f>MAX($R$3:R90)+IF(AND(E91&lt;P91,Q91&gt;0,I91&lt;=SMALL($I$4:$I$105,1)),1,0)</f>
        <v>3</v>
      </c>
      <c r="S91" s="21">
        <f>MAX($S$3:S90)+IF(AND(E91&gt;P91,J91=MIN($J$4:$J$105),I91&lt;=LARGE($I$4:$I$105,1)),1,0)</f>
        <v>9</v>
      </c>
      <c r="T91" s="118">
        <f>MAX($T$3:T90)+AND(G91&gt;=LARGE($G$4:$G$105,15),J91=MIN($J$4:$J$105))</f>
        <v>4</v>
      </c>
      <c r="U91" s="22"/>
    </row>
    <row r="92" spans="2:21">
      <c r="B92" s="16">
        <f t="shared" si="5"/>
        <v>89</v>
      </c>
      <c r="C92" s="16" t="s">
        <v>113</v>
      </c>
      <c r="D92" s="17">
        <v>41793</v>
      </c>
      <c r="E92" s="18">
        <v>93000</v>
      </c>
      <c r="F92" s="18">
        <v>9060</v>
      </c>
      <c r="G92" s="18">
        <v>60</v>
      </c>
      <c r="H92" s="19" t="s">
        <v>24</v>
      </c>
      <c r="I92" s="19">
        <v>3</v>
      </c>
      <c r="J92" s="20">
        <v>3</v>
      </c>
      <c r="P92" s="117">
        <f t="shared" si="4"/>
        <v>58000</v>
      </c>
      <c r="Q92" s="21">
        <f t="shared" si="3"/>
        <v>0</v>
      </c>
      <c r="R92" s="21">
        <f>MAX($R$3:R91)+IF(AND(E92&lt;P92,Q92&gt;0,I92&lt;=SMALL($I$4:$I$105,1)),1,0)</f>
        <v>3</v>
      </c>
      <c r="S92" s="21">
        <f>MAX($S$3:S91)+IF(AND(E92&gt;P92,J92=MIN($J$4:$J$105),I92&lt;=LARGE($I$4:$I$105,1)),1,0)</f>
        <v>9</v>
      </c>
      <c r="T92" s="118">
        <f>MAX($T$3:T91)+AND(G92&gt;=LARGE($G$4:$G$105,15),J92=MIN($J$4:$J$105))</f>
        <v>4</v>
      </c>
      <c r="U92" s="22"/>
    </row>
    <row r="93" spans="2:21">
      <c r="B93" s="16">
        <f t="shared" si="5"/>
        <v>90</v>
      </c>
      <c r="C93" s="16" t="s">
        <v>114</v>
      </c>
      <c r="D93" s="17">
        <v>41934</v>
      </c>
      <c r="E93" s="18">
        <v>98000</v>
      </c>
      <c r="F93" s="18">
        <v>6690</v>
      </c>
      <c r="G93" s="18">
        <v>60</v>
      </c>
      <c r="H93" s="19" t="s">
        <v>21</v>
      </c>
      <c r="I93" s="19">
        <v>3</v>
      </c>
      <c r="J93" s="20">
        <v>1</v>
      </c>
      <c r="P93" s="117">
        <f t="shared" si="4"/>
        <v>57444.444444444445</v>
      </c>
      <c r="Q93" s="21">
        <f t="shared" si="3"/>
        <v>0</v>
      </c>
      <c r="R93" s="21">
        <f>MAX($R$3:R92)+IF(AND(E93&lt;P93,Q93&gt;0,I93&lt;=SMALL($I$4:$I$105,1)),1,0)</f>
        <v>3</v>
      </c>
      <c r="S93" s="21">
        <f>MAX($S$3:S92)+IF(AND(E93&gt;P93,J93=MIN($J$4:$J$105),I93&lt;=LARGE($I$4:$I$105,1)),1,0)</f>
        <v>10</v>
      </c>
      <c r="T93" s="118">
        <f>MAX($T$3:T92)+AND(G93&gt;=LARGE($G$4:$G$105,15),J93=MIN($J$4:$J$105))</f>
        <v>4</v>
      </c>
      <c r="U93" s="22"/>
    </row>
    <row r="94" spans="2:21">
      <c r="B94" s="16">
        <f t="shared" si="5"/>
        <v>91</v>
      </c>
      <c r="C94" s="16" t="s">
        <v>115</v>
      </c>
      <c r="D94" s="17">
        <v>41973</v>
      </c>
      <c r="E94" s="18">
        <v>100000</v>
      </c>
      <c r="F94" s="18">
        <v>5850</v>
      </c>
      <c r="G94" s="18">
        <v>7740</v>
      </c>
      <c r="H94" s="19" t="s">
        <v>17</v>
      </c>
      <c r="I94" s="19">
        <v>3</v>
      </c>
      <c r="J94" s="20">
        <v>1</v>
      </c>
      <c r="P94" s="117">
        <f t="shared" si="4"/>
        <v>55400</v>
      </c>
      <c r="Q94" s="21">
        <f t="shared" si="3"/>
        <v>0</v>
      </c>
      <c r="R94" s="21">
        <f>MAX($R$3:R93)+IF(AND(E94&lt;P94,Q94&gt;0,I94&lt;=SMALL($I$4:$I$105,1)),1,0)</f>
        <v>3</v>
      </c>
      <c r="S94" s="21">
        <f>MAX($S$3:S93)+IF(AND(E94&gt;P94,J94=MIN($J$4:$J$105),I94&lt;=LARGE($I$4:$I$105,1)),1,0)</f>
        <v>11</v>
      </c>
      <c r="T94" s="118">
        <f>MAX($T$3:T93)+AND(G94&gt;=LARGE($G$4:$G$105,15),J94=MIN($J$4:$J$105))</f>
        <v>5</v>
      </c>
      <c r="U94" s="22"/>
    </row>
    <row r="95" spans="2:21">
      <c r="B95" s="16">
        <f t="shared" si="5"/>
        <v>92</v>
      </c>
      <c r="C95" s="16" t="s">
        <v>116</v>
      </c>
      <c r="D95" s="17">
        <v>41919</v>
      </c>
      <c r="E95" s="18">
        <v>109000</v>
      </c>
      <c r="F95" s="18">
        <v>16800</v>
      </c>
      <c r="G95" s="18">
        <v>60</v>
      </c>
      <c r="H95" s="19" t="s">
        <v>27</v>
      </c>
      <c r="I95" s="19">
        <v>4</v>
      </c>
      <c r="J95" s="20">
        <v>3</v>
      </c>
      <c r="P95" s="117">
        <f t="shared" si="4"/>
        <v>66071.428571428565</v>
      </c>
      <c r="Q95" s="21">
        <f t="shared" si="3"/>
        <v>0</v>
      </c>
      <c r="R95" s="21">
        <f>MAX($R$3:R94)+IF(AND(E95&lt;P95,Q95&gt;0,I95&lt;=SMALL($I$4:$I$105,1)),1,0)</f>
        <v>3</v>
      </c>
      <c r="S95" s="21">
        <f>MAX($S$3:S94)+IF(AND(E95&gt;P95,J95=MIN($J$4:$J$105),I95&lt;=LARGE($I$4:$I$105,1)),1,0)</f>
        <v>11</v>
      </c>
      <c r="T95" s="118">
        <f>MAX($T$3:T94)+AND(G95&gt;=LARGE($G$4:$G$105,15),J95=MIN($J$4:$J$105))</f>
        <v>5</v>
      </c>
      <c r="U95" s="22"/>
    </row>
    <row r="96" spans="2:21">
      <c r="B96" s="16">
        <f t="shared" si="5"/>
        <v>93</v>
      </c>
      <c r="C96" s="16" t="s">
        <v>117</v>
      </c>
      <c r="D96" s="17">
        <v>42263</v>
      </c>
      <c r="E96" s="18">
        <v>114000</v>
      </c>
      <c r="F96" s="18">
        <v>7650</v>
      </c>
      <c r="G96" s="18">
        <v>5560</v>
      </c>
      <c r="H96" s="19" t="s">
        <v>19</v>
      </c>
      <c r="I96" s="19">
        <v>3</v>
      </c>
      <c r="J96" s="20">
        <v>5</v>
      </c>
      <c r="P96" s="117">
        <f t="shared" si="4"/>
        <v>69538.461538461532</v>
      </c>
      <c r="Q96" s="21">
        <f t="shared" si="3"/>
        <v>5</v>
      </c>
      <c r="R96" s="21">
        <f>MAX($R$3:R95)+IF(AND(E96&lt;P96,Q96&gt;0,I96&lt;=SMALL($I$4:$I$105,1)),1,0)</f>
        <v>3</v>
      </c>
      <c r="S96" s="21">
        <f>MAX($S$3:S95)+IF(AND(E96&gt;P96,J96=MIN($J$4:$J$105),I96&lt;=LARGE($I$4:$I$105,1)),1,0)</f>
        <v>11</v>
      </c>
      <c r="T96" s="118">
        <f>MAX($T$3:T95)+AND(G96&gt;=LARGE($G$4:$G$105,15),J96=MIN($J$4:$J$105))</f>
        <v>5</v>
      </c>
      <c r="U96" s="22"/>
    </row>
    <row r="97" spans="2:21">
      <c r="B97" s="16">
        <f t="shared" si="5"/>
        <v>94</v>
      </c>
      <c r="C97" s="16" t="s">
        <v>118</v>
      </c>
      <c r="D97" s="17">
        <v>41818</v>
      </c>
      <c r="E97" s="18">
        <v>123000</v>
      </c>
      <c r="F97" s="18">
        <v>11760</v>
      </c>
      <c r="G97" s="18">
        <v>4820</v>
      </c>
      <c r="H97" s="19" t="s">
        <v>27</v>
      </c>
      <c r="I97" s="19">
        <v>5</v>
      </c>
      <c r="J97" s="20">
        <v>2</v>
      </c>
      <c r="P97" s="117">
        <f t="shared" si="4"/>
        <v>66071.428571428565</v>
      </c>
      <c r="Q97" s="21">
        <f t="shared" si="3"/>
        <v>0</v>
      </c>
      <c r="R97" s="21">
        <f>MAX($R$3:R96)+IF(AND(E97&lt;P97,Q97&gt;0,I97&lt;=SMALL($I$4:$I$105,1)),1,0)</f>
        <v>3</v>
      </c>
      <c r="S97" s="21">
        <f>MAX($S$3:S96)+IF(AND(E97&gt;P97,J97=MIN($J$4:$J$105),I97&lt;=LARGE($I$4:$I$105,1)),1,0)</f>
        <v>11</v>
      </c>
      <c r="T97" s="118">
        <f>MAX($T$3:T96)+AND(G97&gt;=LARGE($G$4:$G$105,15),J97=MIN($J$4:$J$105))</f>
        <v>5</v>
      </c>
      <c r="U97" s="22"/>
    </row>
    <row r="98" spans="2:21">
      <c r="B98" s="16">
        <f t="shared" si="5"/>
        <v>95</v>
      </c>
      <c r="C98" s="16" t="s">
        <v>119</v>
      </c>
      <c r="D98" s="17">
        <v>41881</v>
      </c>
      <c r="E98" s="18">
        <v>127000</v>
      </c>
      <c r="F98" s="18">
        <v>18270</v>
      </c>
      <c r="G98" s="18">
        <v>4980</v>
      </c>
      <c r="H98" s="19" t="s">
        <v>19</v>
      </c>
      <c r="I98" s="19">
        <v>5</v>
      </c>
      <c r="J98" s="20">
        <v>2</v>
      </c>
      <c r="P98" s="117">
        <f t="shared" si="4"/>
        <v>69538.461538461532</v>
      </c>
      <c r="Q98" s="21">
        <f t="shared" si="3"/>
        <v>0</v>
      </c>
      <c r="R98" s="21">
        <f>MAX($R$3:R97)+IF(AND(E98&lt;P98,Q98&gt;0,I98&lt;=SMALL($I$4:$I$105,1)),1,0)</f>
        <v>3</v>
      </c>
      <c r="S98" s="21">
        <f>MAX($S$3:S97)+IF(AND(E98&gt;P98,J98=MIN($J$4:$J$105),I98&lt;=LARGE($I$4:$I$105,1)),1,0)</f>
        <v>11</v>
      </c>
      <c r="T98" s="118">
        <f>MAX($T$3:T97)+AND(G98&gt;=LARGE($G$4:$G$105,15),J98=MIN($J$4:$J$105))</f>
        <v>5</v>
      </c>
      <c r="U98" s="22"/>
    </row>
    <row r="99" spans="2:21">
      <c r="B99" s="16">
        <f t="shared" si="5"/>
        <v>96</v>
      </c>
      <c r="C99" s="16" t="s">
        <v>120</v>
      </c>
      <c r="D99" s="17">
        <v>41751</v>
      </c>
      <c r="E99" s="18">
        <v>149000</v>
      </c>
      <c r="F99" s="18">
        <v>17000</v>
      </c>
      <c r="G99" s="18">
        <v>5860</v>
      </c>
      <c r="H99" s="19" t="s">
        <v>19</v>
      </c>
      <c r="I99" s="19">
        <v>5</v>
      </c>
      <c r="J99" s="20">
        <v>4</v>
      </c>
      <c r="P99" s="117">
        <f t="shared" si="4"/>
        <v>69538.461538461532</v>
      </c>
      <c r="Q99" s="21">
        <f t="shared" si="3"/>
        <v>0</v>
      </c>
      <c r="R99" s="21">
        <f>MAX($R$3:R98)+IF(AND(E99&lt;P99,Q99&gt;0,I99&lt;=SMALL($I$4:$I$105,1)),1,0)</f>
        <v>3</v>
      </c>
      <c r="S99" s="21">
        <f>MAX($S$3:S98)+IF(AND(E99&gt;P99,J99=MIN($J$4:$J$105),I99&lt;=LARGE($I$4:$I$105,1)),1,0)</f>
        <v>11</v>
      </c>
      <c r="T99" s="118">
        <f>MAX($T$3:T98)+AND(G99&gt;=LARGE($G$4:$G$105,15),J99=MIN($J$4:$J$105))</f>
        <v>5</v>
      </c>
      <c r="U99" s="22"/>
    </row>
    <row r="100" spans="2:21">
      <c r="B100" s="16">
        <f t="shared" si="5"/>
        <v>97</v>
      </c>
      <c r="C100" s="16" t="s">
        <v>121</v>
      </c>
      <c r="D100" s="17">
        <v>41705</v>
      </c>
      <c r="E100" s="18">
        <v>81000</v>
      </c>
      <c r="F100" s="18">
        <v>12600</v>
      </c>
      <c r="G100" s="18">
        <v>60</v>
      </c>
      <c r="H100" s="19" t="s">
        <v>39</v>
      </c>
      <c r="I100" s="19">
        <v>4</v>
      </c>
      <c r="J100" s="20">
        <v>1</v>
      </c>
      <c r="P100" s="117">
        <f t="shared" si="4"/>
        <v>68133.333333333328</v>
      </c>
      <c r="Q100" s="21">
        <f t="shared" si="3"/>
        <v>0</v>
      </c>
      <c r="R100" s="21">
        <f>MAX($R$3:R99)+IF(AND(E100&lt;P100,Q100&gt;0,I100&lt;=SMALL($I$4:$I$105,1)),1,0)</f>
        <v>3</v>
      </c>
      <c r="S100" s="21">
        <f>MAX($S$3:S99)+IF(AND(E100&gt;P100,J100=MIN($J$4:$J$105),I100&lt;=LARGE($I$4:$I$105,1)),1,0)</f>
        <v>12</v>
      </c>
      <c r="T100" s="118">
        <f>MAX($T$3:T99)+AND(G100&gt;=LARGE($G$4:$G$105,15),J100=MIN($J$4:$J$105))</f>
        <v>5</v>
      </c>
      <c r="U100" s="22"/>
    </row>
    <row r="101" spans="2:21">
      <c r="B101" s="16">
        <f t="shared" si="5"/>
        <v>98</v>
      </c>
      <c r="C101" s="16" t="s">
        <v>122</v>
      </c>
      <c r="D101" s="17">
        <v>41647</v>
      </c>
      <c r="E101" s="18">
        <v>81000</v>
      </c>
      <c r="F101" s="18">
        <v>6440.0000000000009</v>
      </c>
      <c r="G101" s="18">
        <v>60</v>
      </c>
      <c r="H101" s="19" t="s">
        <v>27</v>
      </c>
      <c r="I101" s="19">
        <v>3</v>
      </c>
      <c r="J101" s="20">
        <v>3</v>
      </c>
      <c r="P101" s="117">
        <f t="shared" si="4"/>
        <v>66071.428571428565</v>
      </c>
      <c r="Q101" s="21">
        <f t="shared" si="3"/>
        <v>0</v>
      </c>
      <c r="R101" s="21">
        <f>MAX($R$3:R100)+IF(AND(E101&lt;P101,Q101&gt;0,I101&lt;=SMALL($I$4:$I$105,1)),1,0)</f>
        <v>3</v>
      </c>
      <c r="S101" s="21">
        <f>MAX($S$3:S100)+IF(AND(E101&gt;P101,J101=MIN($J$4:$J$105),I101&lt;=LARGE($I$4:$I$105,1)),1,0)</f>
        <v>12</v>
      </c>
      <c r="T101" s="118">
        <f>MAX($T$3:T100)+AND(G101&gt;=LARGE($G$4:$G$105,15),J101=MIN($J$4:$J$105))</f>
        <v>5</v>
      </c>
      <c r="U101" s="22"/>
    </row>
    <row r="102" spans="2:21">
      <c r="B102" s="16">
        <f t="shared" si="5"/>
        <v>99</v>
      </c>
      <c r="C102" s="16" t="s">
        <v>123</v>
      </c>
      <c r="D102" s="17">
        <v>41752</v>
      </c>
      <c r="E102" s="18">
        <v>81000</v>
      </c>
      <c r="F102" s="18">
        <v>29050</v>
      </c>
      <c r="G102" s="18">
        <v>60</v>
      </c>
      <c r="H102" s="19" t="s">
        <v>43</v>
      </c>
      <c r="I102" s="19">
        <v>2</v>
      </c>
      <c r="J102" s="20">
        <v>5</v>
      </c>
      <c r="P102" s="117">
        <f t="shared" si="4"/>
        <v>64692.307692307695</v>
      </c>
      <c r="Q102" s="21">
        <f t="shared" si="3"/>
        <v>5</v>
      </c>
      <c r="R102" s="21">
        <f>MAX($R$3:R101)+IF(AND(E102&lt;P102,Q102&gt;0,I102&lt;=SMALL($I$4:$I$105,1)),1,0)</f>
        <v>3</v>
      </c>
      <c r="S102" s="21">
        <f>MAX($S$3:S101)+IF(AND(E102&gt;P102,J102=MIN($J$4:$J$105),I102&lt;=LARGE($I$4:$I$105,1)),1,0)</f>
        <v>12</v>
      </c>
      <c r="T102" s="118">
        <f>MAX($T$3:T101)+AND(G102&gt;=LARGE($G$4:$G$105,15),J102=MIN($J$4:$J$105))</f>
        <v>5</v>
      </c>
      <c r="U102" s="22"/>
    </row>
    <row r="103" spans="2:21">
      <c r="B103" s="16">
        <f t="shared" si="5"/>
        <v>100</v>
      </c>
      <c r="C103" s="16" t="s">
        <v>124</v>
      </c>
      <c r="D103" s="17">
        <v>42164</v>
      </c>
      <c r="E103" s="18">
        <v>84000</v>
      </c>
      <c r="F103" s="18">
        <v>53050</v>
      </c>
      <c r="G103" s="18">
        <v>60</v>
      </c>
      <c r="H103" s="19" t="s">
        <v>43</v>
      </c>
      <c r="I103" s="19">
        <v>2</v>
      </c>
      <c r="J103" s="20">
        <v>1</v>
      </c>
      <c r="P103" s="117">
        <f t="shared" si="4"/>
        <v>64692.307692307695</v>
      </c>
      <c r="Q103" s="21">
        <f t="shared" si="3"/>
        <v>0</v>
      </c>
      <c r="R103" s="21">
        <f>MAX($R$3:R102)+IF(AND(E103&lt;P103,Q103&gt;0,I103&lt;=SMALL($I$4:$I$105,1)),1,0)</f>
        <v>3</v>
      </c>
      <c r="S103" s="21">
        <f>MAX($S$3:S102)+IF(AND(E103&gt;P103,J103=MIN($J$4:$J$105),I103&lt;=LARGE($I$4:$I$105,1)),1,0)</f>
        <v>13</v>
      </c>
      <c r="T103" s="118">
        <f>MAX($T$3:T102)+AND(G103&gt;=LARGE($G$4:$G$105,15),J103=MIN($J$4:$J$105))</f>
        <v>5</v>
      </c>
      <c r="U103" s="22"/>
    </row>
    <row r="104" spans="2:21">
      <c r="B104" s="24"/>
      <c r="C104" s="24"/>
      <c r="D104" s="25"/>
      <c r="E104" s="26"/>
      <c r="F104" s="26"/>
      <c r="G104" s="26"/>
      <c r="H104" s="27"/>
      <c r="I104" s="27"/>
      <c r="J104" s="28"/>
      <c r="P104" s="117"/>
      <c r="Q104" s="21"/>
      <c r="R104" s="21"/>
      <c r="S104" s="21"/>
      <c r="T104" s="118"/>
      <c r="U104" s="22"/>
    </row>
    <row r="105" spans="2:21">
      <c r="B105" s="29"/>
      <c r="C105" s="29"/>
      <c r="D105" s="30"/>
      <c r="E105" s="31"/>
      <c r="F105" s="31"/>
      <c r="G105" s="31"/>
      <c r="H105" s="32"/>
      <c r="I105" s="32"/>
      <c r="J105" s="33"/>
      <c r="P105" s="119"/>
      <c r="Q105" s="120"/>
      <c r="R105" s="120"/>
      <c r="S105" s="120"/>
      <c r="T105" s="121"/>
      <c r="U105" s="22"/>
    </row>
  </sheetData>
  <mergeCells count="1">
    <mergeCell ref="P2:T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DASHBOARD</vt:lpstr>
      <vt:lpstr>Human Resources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2014-10-27T09:12:52Z</cp:lastPrinted>
  <dcterms:created xsi:type="dcterms:W3CDTF">2014-10-19T11:03:08Z</dcterms:created>
  <dcterms:modified xsi:type="dcterms:W3CDTF">2014-10-27T09:40:15Z</dcterms:modified>
</cp:coreProperties>
</file>