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ykel\Documents\Docs\"/>
    </mc:Choice>
  </mc:AlternateContent>
  <bookViews>
    <workbookView xWindow="0" yWindow="0" windowWidth="21600" windowHeight="9735" activeTab="2"/>
  </bookViews>
  <sheets>
    <sheet name="Dashboard" sheetId="3" r:id="rId1"/>
    <sheet name="Analysis" sheetId="2" r:id="rId2"/>
    <sheet name="Team Data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2" i="1"/>
  <c r="E2" i="3" l="1"/>
  <c r="E2" i="2"/>
  <c r="R47" i="1" l="1"/>
  <c r="R51" i="1"/>
  <c r="R80" i="1"/>
  <c r="R96" i="1"/>
  <c r="R39" i="1"/>
  <c r="R88" i="1"/>
  <c r="R15" i="1"/>
  <c r="R46" i="1"/>
  <c r="R29" i="1"/>
  <c r="R16" i="1"/>
  <c r="R28" i="1"/>
  <c r="R14" i="1"/>
  <c r="R60" i="1"/>
  <c r="R8" i="1"/>
  <c r="R10" i="1"/>
  <c r="R91" i="1"/>
  <c r="R69" i="1"/>
  <c r="R21" i="1"/>
  <c r="R11" i="1"/>
  <c r="R18" i="1"/>
  <c r="R5" i="1"/>
  <c r="R48" i="1"/>
  <c r="R64" i="1"/>
  <c r="R68" i="1"/>
  <c r="R58" i="1"/>
  <c r="R43" i="1"/>
  <c r="R73" i="1"/>
  <c r="R62" i="1"/>
  <c r="R86" i="1"/>
  <c r="R33" i="1"/>
  <c r="R17" i="1"/>
  <c r="R57" i="1"/>
  <c r="R77" i="1"/>
  <c r="R59" i="1"/>
  <c r="R70" i="1"/>
  <c r="R92" i="1"/>
  <c r="R72" i="1"/>
  <c r="R98" i="1"/>
  <c r="R26" i="1"/>
  <c r="R45" i="1"/>
  <c r="R49" i="1"/>
  <c r="R81" i="1"/>
  <c r="R35" i="1"/>
  <c r="R7" i="1"/>
  <c r="R101" i="1"/>
  <c r="R4" i="1"/>
  <c r="R99" i="1"/>
  <c r="R71" i="1"/>
  <c r="R24" i="1"/>
  <c r="R87" i="1"/>
  <c r="R55" i="1"/>
  <c r="R66" i="1"/>
  <c r="R27" i="1"/>
  <c r="R56" i="1"/>
  <c r="R2" i="1"/>
  <c r="R95" i="1"/>
  <c r="R9" i="1"/>
  <c r="R32" i="1"/>
  <c r="R13" i="1"/>
  <c r="R93" i="1"/>
  <c r="R102" i="1"/>
  <c r="R78" i="1"/>
  <c r="R53" i="1"/>
  <c r="R37" i="1"/>
  <c r="R63" i="1"/>
  <c r="R75" i="1"/>
  <c r="R12" i="1"/>
  <c r="R20" i="1"/>
  <c r="R61" i="1"/>
  <c r="R31" i="1"/>
  <c r="R30" i="1"/>
  <c r="R84" i="1"/>
  <c r="R83" i="1"/>
  <c r="R94" i="1"/>
  <c r="R36" i="1"/>
  <c r="R85" i="1"/>
  <c r="R42" i="1"/>
  <c r="R44" i="1"/>
  <c r="R40" i="1"/>
  <c r="R65" i="1"/>
  <c r="R54" i="1"/>
  <c r="R23" i="1"/>
  <c r="R90" i="1"/>
  <c r="R34" i="1"/>
  <c r="R103" i="1"/>
  <c r="R79" i="1"/>
  <c r="R89" i="1"/>
  <c r="R38" i="1"/>
  <c r="R3" i="1"/>
  <c r="R22" i="1"/>
  <c r="R41" i="1"/>
  <c r="R6" i="1"/>
  <c r="R25" i="1"/>
  <c r="R97" i="1"/>
  <c r="R100" i="1"/>
  <c r="R76" i="1"/>
  <c r="R50" i="1"/>
  <c r="R74" i="1"/>
  <c r="R52" i="1"/>
  <c r="R67" i="1"/>
  <c r="R82" i="1"/>
  <c r="R19" i="1"/>
  <c r="S19" i="1" l="1"/>
  <c r="S82" i="1"/>
  <c r="S67" i="1"/>
  <c r="S52" i="1"/>
  <c r="S74" i="1"/>
  <c r="S50" i="1"/>
  <c r="S76" i="1"/>
  <c r="S100" i="1"/>
  <c r="S97" i="1"/>
  <c r="S25" i="1"/>
  <c r="S6" i="1"/>
  <c r="E3" i="2" l="1"/>
  <c r="F3" i="2"/>
  <c r="B7" i="2" l="1"/>
  <c r="C7" i="2" s="1"/>
  <c r="E7" i="2" l="1"/>
  <c r="E29" i="2" l="1"/>
  <c r="E28" i="2"/>
  <c r="E27" i="2"/>
  <c r="E26" i="2"/>
  <c r="E25" i="2"/>
  <c r="E24" i="2"/>
  <c r="E17" i="2"/>
  <c r="E19" i="2"/>
  <c r="E20" i="2"/>
  <c r="E18" i="2"/>
  <c r="E16" i="2"/>
  <c r="E15" i="2"/>
  <c r="E14" i="2"/>
  <c r="E13" i="2"/>
  <c r="E12" i="2"/>
  <c r="E11" i="2"/>
  <c r="C12" i="2"/>
  <c r="C29" i="2"/>
  <c r="C28" i="2"/>
  <c r="C27" i="2"/>
  <c r="C26" i="2"/>
  <c r="C25" i="2"/>
  <c r="C24" i="2"/>
  <c r="C20" i="2"/>
  <c r="C19" i="2"/>
  <c r="C18" i="2"/>
  <c r="C17" i="2"/>
  <c r="C16" i="2"/>
  <c r="C15" i="2"/>
  <c r="C14" i="2"/>
  <c r="C13" i="2"/>
  <c r="C11" i="2"/>
  <c r="B6" i="2" l="1"/>
  <c r="C6" i="2" s="1"/>
  <c r="E6" i="2" l="1"/>
  <c r="L47" i="1"/>
  <c r="J47" i="1"/>
  <c r="L51" i="1"/>
  <c r="J51" i="1"/>
  <c r="L96" i="1"/>
  <c r="J96" i="1"/>
  <c r="L80" i="1"/>
  <c r="J80" i="1"/>
  <c r="L39" i="1"/>
  <c r="J39" i="1"/>
  <c r="L88" i="1"/>
  <c r="J88" i="1"/>
  <c r="L46" i="1"/>
  <c r="J46" i="1"/>
  <c r="L29" i="1"/>
  <c r="J29" i="1"/>
  <c r="L15" i="1"/>
  <c r="J15" i="1"/>
  <c r="L28" i="1"/>
  <c r="J28" i="1"/>
  <c r="L16" i="1"/>
  <c r="J16" i="1"/>
  <c r="L60" i="1"/>
  <c r="J60" i="1"/>
  <c r="L14" i="1"/>
  <c r="J14" i="1"/>
  <c r="L8" i="1"/>
  <c r="J8" i="1"/>
  <c r="L10" i="1"/>
  <c r="J10" i="1"/>
  <c r="L91" i="1"/>
  <c r="J91" i="1"/>
  <c r="L69" i="1"/>
  <c r="J69" i="1"/>
  <c r="L21" i="1"/>
  <c r="J21" i="1"/>
  <c r="L11" i="1"/>
  <c r="J11" i="1"/>
  <c r="L18" i="1"/>
  <c r="J18" i="1"/>
  <c r="L64" i="1"/>
  <c r="J64" i="1"/>
  <c r="L48" i="1"/>
  <c r="J48" i="1"/>
  <c r="L5" i="1"/>
  <c r="J5" i="1"/>
  <c r="L68" i="1"/>
  <c r="J68" i="1"/>
  <c r="L58" i="1"/>
  <c r="J58" i="1"/>
  <c r="L73" i="1"/>
  <c r="J73" i="1"/>
  <c r="L43" i="1"/>
  <c r="J43" i="1"/>
  <c r="L62" i="1"/>
  <c r="J62" i="1"/>
  <c r="L86" i="1"/>
  <c r="J86" i="1"/>
  <c r="L33" i="1"/>
  <c r="J33" i="1"/>
  <c r="L17" i="1"/>
  <c r="J17" i="1"/>
  <c r="L77" i="1"/>
  <c r="J77" i="1"/>
  <c r="L57" i="1"/>
  <c r="J57" i="1"/>
  <c r="L70" i="1"/>
  <c r="J70" i="1"/>
  <c r="L59" i="1"/>
  <c r="J59" i="1"/>
  <c r="L92" i="1"/>
  <c r="J92" i="1"/>
  <c r="L72" i="1"/>
  <c r="J72" i="1"/>
  <c r="L98" i="1"/>
  <c r="J98" i="1"/>
  <c r="L45" i="1"/>
  <c r="J45" i="1"/>
  <c r="L26" i="1"/>
  <c r="J26" i="1"/>
  <c r="L49" i="1"/>
  <c r="J49" i="1"/>
  <c r="L81" i="1"/>
  <c r="J81" i="1"/>
  <c r="L35" i="1"/>
  <c r="J35" i="1"/>
  <c r="L7" i="1"/>
  <c r="J7" i="1"/>
  <c r="L101" i="1"/>
  <c r="J101" i="1"/>
  <c r="L4" i="1"/>
  <c r="J4" i="1"/>
  <c r="L99" i="1"/>
  <c r="J99" i="1"/>
  <c r="L71" i="1"/>
  <c r="J71" i="1"/>
  <c r="L24" i="1"/>
  <c r="J24" i="1"/>
  <c r="L87" i="1"/>
  <c r="J87" i="1"/>
  <c r="L66" i="1"/>
  <c r="J66" i="1"/>
  <c r="L56" i="1"/>
  <c r="J56" i="1"/>
  <c r="L55" i="1"/>
  <c r="J55" i="1"/>
  <c r="L27" i="1"/>
  <c r="J27" i="1"/>
  <c r="L2" i="1"/>
  <c r="J2" i="1"/>
  <c r="L95" i="1"/>
  <c r="J95" i="1"/>
  <c r="L9" i="1"/>
  <c r="J9" i="1"/>
  <c r="L32" i="1"/>
  <c r="J32" i="1"/>
  <c r="L13" i="1"/>
  <c r="J13" i="1"/>
  <c r="L93" i="1"/>
  <c r="J93" i="1"/>
  <c r="L102" i="1"/>
  <c r="J102" i="1"/>
  <c r="L78" i="1"/>
  <c r="J78" i="1"/>
  <c r="L63" i="1"/>
  <c r="J63" i="1"/>
  <c r="L53" i="1"/>
  <c r="J53" i="1"/>
  <c r="L37" i="1"/>
  <c r="J37" i="1"/>
  <c r="L75" i="1"/>
  <c r="J75" i="1"/>
  <c r="L12" i="1"/>
  <c r="J12" i="1"/>
  <c r="L61" i="1"/>
  <c r="J61" i="1"/>
  <c r="L20" i="1"/>
  <c r="J20" i="1"/>
  <c r="L31" i="1"/>
  <c r="J31" i="1"/>
  <c r="L84" i="1"/>
  <c r="J84" i="1"/>
  <c r="L30" i="1"/>
  <c r="J30" i="1"/>
  <c r="L83" i="1"/>
  <c r="J83" i="1"/>
  <c r="L94" i="1"/>
  <c r="J94" i="1"/>
  <c r="L36" i="1"/>
  <c r="J36" i="1"/>
  <c r="L85" i="1"/>
  <c r="J85" i="1"/>
  <c r="L42" i="1"/>
  <c r="J42" i="1"/>
  <c r="L44" i="1"/>
  <c r="J44" i="1"/>
  <c r="L65" i="1"/>
  <c r="J65" i="1"/>
  <c r="L40" i="1"/>
  <c r="J40" i="1"/>
  <c r="L90" i="1"/>
  <c r="J90" i="1"/>
  <c r="L54" i="1"/>
  <c r="J54" i="1"/>
  <c r="L23" i="1"/>
  <c r="J23" i="1"/>
  <c r="L103" i="1"/>
  <c r="J103" i="1"/>
  <c r="L79" i="1"/>
  <c r="J79" i="1"/>
  <c r="L34" i="1"/>
  <c r="J34" i="1"/>
  <c r="L89" i="1"/>
  <c r="J89" i="1"/>
  <c r="L38" i="1"/>
  <c r="F26" i="2" s="1"/>
  <c r="J38" i="1"/>
  <c r="L41" i="1"/>
  <c r="J41" i="1"/>
  <c r="L22" i="1"/>
  <c r="J22" i="1"/>
  <c r="L3" i="1"/>
  <c r="J3" i="1"/>
  <c r="L97" i="1"/>
  <c r="J97" i="1"/>
  <c r="L100" i="1"/>
  <c r="J100" i="1"/>
  <c r="L25" i="1"/>
  <c r="J25" i="1"/>
  <c r="L6" i="1"/>
  <c r="J6" i="1"/>
  <c r="L76" i="1"/>
  <c r="J76" i="1"/>
  <c r="L74" i="1"/>
  <c r="J74" i="1"/>
  <c r="L50" i="1"/>
  <c r="F25" i="2" s="1"/>
  <c r="J50" i="1"/>
  <c r="L67" i="1"/>
  <c r="J67" i="1"/>
  <c r="L52" i="1"/>
  <c r="J52" i="1"/>
  <c r="L82" i="1"/>
  <c r="J82" i="1"/>
  <c r="L19" i="1"/>
  <c r="F29" i="2" s="1"/>
  <c r="J19" i="1"/>
  <c r="H58" i="2" l="1"/>
  <c r="H56" i="2"/>
  <c r="G56" i="2" s="1" a="1"/>
  <c r="G56" i="2" s="1"/>
  <c r="H54" i="2"/>
  <c r="H53" i="2"/>
  <c r="G53" i="2" s="1" a="1"/>
  <c r="G53" i="2" s="1"/>
  <c r="H50" i="2"/>
  <c r="H59" i="2"/>
  <c r="H57" i="2"/>
  <c r="H55" i="2"/>
  <c r="H52" i="2"/>
  <c r="H51" i="2"/>
  <c r="C50" i="2"/>
  <c r="G57" i="2" a="1"/>
  <c r="G57" i="2" s="1"/>
  <c r="G58" i="2" a="1"/>
  <c r="G58" i="2" s="1"/>
  <c r="G54" i="2" a="1"/>
  <c r="G54" i="2" s="1"/>
  <c r="G50" i="2" a="1"/>
  <c r="G50" i="2" s="1"/>
  <c r="H37" i="2"/>
  <c r="C58" i="2"/>
  <c r="C56" i="2"/>
  <c r="C54" i="2"/>
  <c r="C52" i="2"/>
  <c r="C59" i="2"/>
  <c r="C57" i="2"/>
  <c r="C55" i="2"/>
  <c r="C53" i="2"/>
  <c r="C51" i="2"/>
  <c r="F28" i="2"/>
  <c r="F24" i="2"/>
  <c r="F27" i="2"/>
  <c r="C43" i="2"/>
  <c r="C45" i="2"/>
  <c r="C42" i="2"/>
  <c r="C40" i="2"/>
  <c r="C38" i="2"/>
  <c r="C46" i="2"/>
  <c r="C44" i="2"/>
  <c r="C41" i="2"/>
  <c r="C39" i="2"/>
  <c r="B39" i="2" s="1" a="1"/>
  <c r="B39" i="2" s="1"/>
  <c r="C37" i="2"/>
  <c r="S38" i="1"/>
  <c r="S23" i="1"/>
  <c r="D6" i="2"/>
  <c r="H45" i="2"/>
  <c r="H43" i="2"/>
  <c r="H41" i="2"/>
  <c r="H39" i="2"/>
  <c r="G37" i="2" a="1"/>
  <c r="G37" i="2" s="1"/>
  <c r="H46" i="2"/>
  <c r="H44" i="2"/>
  <c r="H42" i="2"/>
  <c r="H40" i="2"/>
  <c r="D7" i="2"/>
  <c r="S89" i="1"/>
  <c r="S79" i="1"/>
  <c r="S54" i="1"/>
  <c r="S40" i="1"/>
  <c r="S44" i="1"/>
  <c r="S85" i="1"/>
  <c r="S94" i="1"/>
  <c r="S30" i="1"/>
  <c r="S31" i="1"/>
  <c r="S61" i="1"/>
  <c r="S75" i="1"/>
  <c r="S53" i="1"/>
  <c r="S78" i="1"/>
  <c r="S93" i="1"/>
  <c r="S32" i="1"/>
  <c r="S95" i="1"/>
  <c r="S27" i="1"/>
  <c r="S56" i="1"/>
  <c r="S87" i="1"/>
  <c r="S71" i="1"/>
  <c r="S4" i="1"/>
  <c r="S7" i="1"/>
  <c r="S81" i="1"/>
  <c r="S26" i="1"/>
  <c r="S98" i="1"/>
  <c r="S92" i="1"/>
  <c r="S70" i="1"/>
  <c r="S77" i="1"/>
  <c r="S33" i="1"/>
  <c r="S62" i="1"/>
  <c r="S73" i="1"/>
  <c r="S68" i="1"/>
  <c r="S48" i="1"/>
  <c r="S18" i="1"/>
  <c r="S21" i="1"/>
  <c r="S91" i="1"/>
  <c r="S8" i="1"/>
  <c r="S60" i="1"/>
  <c r="S28" i="1"/>
  <c r="S29" i="1"/>
  <c r="S88" i="1"/>
  <c r="S80" i="1"/>
  <c r="S51" i="1"/>
  <c r="S3" i="1"/>
  <c r="S41" i="1"/>
  <c r="S103" i="1"/>
  <c r="S90" i="1"/>
  <c r="S65" i="1"/>
  <c r="S42" i="1"/>
  <c r="S36" i="1"/>
  <c r="S83" i="1"/>
  <c r="S84" i="1"/>
  <c r="S20" i="1"/>
  <c r="S12" i="1"/>
  <c r="S37" i="1"/>
  <c r="S63" i="1"/>
  <c r="S102" i="1"/>
  <c r="S13" i="1"/>
  <c r="S9" i="1"/>
  <c r="S2" i="1"/>
  <c r="S55" i="1"/>
  <c r="S66" i="1"/>
  <c r="S24" i="1"/>
  <c r="S99" i="1"/>
  <c r="S101" i="1"/>
  <c r="S35" i="1"/>
  <c r="S49" i="1"/>
  <c r="S45" i="1"/>
  <c r="S72" i="1"/>
  <c r="S59" i="1"/>
  <c r="S57" i="1"/>
  <c r="S17" i="1"/>
  <c r="S86" i="1"/>
  <c r="S43" i="1"/>
  <c r="S58" i="1"/>
  <c r="S5" i="1"/>
  <c r="S64" i="1"/>
  <c r="S11" i="1"/>
  <c r="S69" i="1"/>
  <c r="S10" i="1"/>
  <c r="S14" i="1"/>
  <c r="S16" i="1"/>
  <c r="S15" i="1"/>
  <c r="S46" i="1"/>
  <c r="S39" i="1"/>
  <c r="S96" i="1"/>
  <c r="S47" i="1"/>
  <c r="F14" i="2"/>
  <c r="D24" i="2"/>
  <c r="F11" i="2"/>
  <c r="F7" i="2"/>
  <c r="F6" i="2"/>
  <c r="F17" i="2"/>
  <c r="F18" i="2"/>
  <c r="D16" i="2"/>
  <c r="D26" i="2"/>
  <c r="F15" i="2"/>
  <c r="F12" i="2"/>
  <c r="D29" i="2"/>
  <c r="F19" i="2"/>
  <c r="F13" i="2"/>
  <c r="D20" i="2"/>
  <c r="D27" i="2"/>
  <c r="D25" i="2"/>
  <c r="D14" i="2"/>
  <c r="D17" i="2"/>
  <c r="D18" i="2"/>
  <c r="F16" i="2"/>
  <c r="D15" i="2"/>
  <c r="D12" i="2"/>
  <c r="D19" i="2"/>
  <c r="D28" i="2"/>
  <c r="D11" i="2"/>
  <c r="D13" i="2"/>
  <c r="F20" i="2"/>
  <c r="C30" i="2"/>
  <c r="E30" i="2"/>
  <c r="E8" i="2"/>
  <c r="C8" i="2"/>
  <c r="C21" i="2"/>
  <c r="H38" i="2"/>
  <c r="S22" i="1"/>
  <c r="S34" i="1"/>
  <c r="E21" i="2"/>
  <c r="I54" i="2" l="1"/>
  <c r="J54" i="2"/>
  <c r="I58" i="2"/>
  <c r="J58" i="2"/>
  <c r="J57" i="2"/>
  <c r="I57" i="2"/>
  <c r="I50" i="2"/>
  <c r="J50" i="2"/>
  <c r="I56" i="2"/>
  <c r="J56" i="2"/>
  <c r="J53" i="2"/>
  <c r="I53" i="2"/>
  <c r="B42" i="2" a="1"/>
  <c r="B42" i="2" s="1"/>
  <c r="D42" i="2" s="1"/>
  <c r="G52" i="2" a="1"/>
  <c r="G52" i="2" s="1"/>
  <c r="G51" i="2" a="1"/>
  <c r="G51" i="2" s="1"/>
  <c r="G55" i="2" a="1"/>
  <c r="G55" i="2" s="1"/>
  <c r="G59" i="2" a="1"/>
  <c r="G59" i="2" s="1"/>
  <c r="P24" i="2"/>
  <c r="G17" i="2"/>
  <c r="I37" i="2"/>
  <c r="J37" i="2"/>
  <c r="G38" i="2" a="1"/>
  <c r="G38" i="2" s="1"/>
  <c r="I38" i="2" s="1"/>
  <c r="G24" i="2"/>
  <c r="G42" i="2" a="1"/>
  <c r="G42" i="2" s="1"/>
  <c r="G46" i="2" a="1"/>
  <c r="G46" i="2" s="1"/>
  <c r="J38" i="2"/>
  <c r="G29" i="2"/>
  <c r="G18" i="2"/>
  <c r="G19" i="2"/>
  <c r="G28" i="2"/>
  <c r="G13" i="2"/>
  <c r="G16" i="2"/>
  <c r="G11" i="2"/>
  <c r="G39" i="2" a="1"/>
  <c r="G39" i="2" s="1"/>
  <c r="G43" i="2" a="1"/>
  <c r="G43" i="2" s="1"/>
  <c r="G25" i="2"/>
  <c r="G15" i="2"/>
  <c r="G27" i="2"/>
  <c r="G20" i="2"/>
  <c r="G14" i="2"/>
  <c r="G26" i="2"/>
  <c r="G12" i="2"/>
  <c r="G40" i="2" a="1"/>
  <c r="G40" i="2" s="1"/>
  <c r="G44" i="2" a="1"/>
  <c r="G44" i="2" s="1"/>
  <c r="G41" i="2" a="1"/>
  <c r="G41" i="2" s="1"/>
  <c r="G45" i="2" a="1"/>
  <c r="G45" i="2" s="1"/>
  <c r="F8" i="2"/>
  <c r="D8" i="2"/>
  <c r="G6" i="2"/>
  <c r="G7" i="2"/>
  <c r="B50" i="2" a="1"/>
  <c r="B50" i="2" s="1"/>
  <c r="D21" i="2"/>
  <c r="F30" i="2"/>
  <c r="D30" i="2"/>
  <c r="F21" i="2"/>
  <c r="J55" i="2" l="1"/>
  <c r="I55" i="2"/>
  <c r="I52" i="2"/>
  <c r="J52" i="2"/>
  <c r="J59" i="2"/>
  <c r="I59" i="2"/>
  <c r="J51" i="2"/>
  <c r="I51" i="2"/>
  <c r="I45" i="2"/>
  <c r="J45" i="2"/>
  <c r="J44" i="2"/>
  <c r="I44" i="2"/>
  <c r="J46" i="2"/>
  <c r="I46" i="2"/>
  <c r="J43" i="2"/>
  <c r="I43" i="2"/>
  <c r="J42" i="2"/>
  <c r="I42" i="2"/>
  <c r="J41" i="2"/>
  <c r="I41" i="2"/>
  <c r="J40" i="2"/>
  <c r="I40" i="2"/>
  <c r="J39" i="2"/>
  <c r="I39" i="2"/>
  <c r="G30" i="2"/>
  <c r="B37" i="2" a="1"/>
  <c r="B37" i="2" s="1"/>
  <c r="E37" i="2" s="1"/>
  <c r="D50" i="2"/>
  <c r="E50" i="2"/>
  <c r="B38" i="2" a="1"/>
  <c r="B38" i="2" s="1"/>
  <c r="E38" i="2" s="1"/>
  <c r="G21" i="2"/>
  <c r="G8" i="2"/>
  <c r="B55" i="2" a="1"/>
  <c r="B55" i="2" s="1"/>
  <c r="B44" i="2" a="1"/>
  <c r="B44" i="2" s="1"/>
  <c r="E44" i="2" s="1"/>
  <c r="B58" i="2" a="1"/>
  <c r="B58" i="2" s="1"/>
  <c r="E39" i="2"/>
  <c r="B53" i="2" a="1"/>
  <c r="B53" i="2" s="1"/>
  <c r="E42" i="2"/>
  <c r="B56" i="2" a="1"/>
  <c r="B56" i="2" s="1"/>
  <c r="B45" i="2" a="1"/>
  <c r="B45" i="2" s="1"/>
  <c r="E45" i="2" s="1"/>
  <c r="B51" i="2" a="1"/>
  <c r="B51" i="2" s="1"/>
  <c r="B40" i="2" a="1"/>
  <c r="B40" i="2" s="1"/>
  <c r="E40" i="2" s="1"/>
  <c r="B54" i="2" a="1"/>
  <c r="B54" i="2" s="1"/>
  <c r="B43" i="2" a="1"/>
  <c r="B43" i="2" s="1"/>
  <c r="E43" i="2" s="1"/>
  <c r="B57" i="2" a="1"/>
  <c r="B57" i="2" s="1"/>
  <c r="B46" i="2" a="1"/>
  <c r="B46" i="2" s="1"/>
  <c r="E46" i="2" s="1"/>
  <c r="B52" i="2" a="1"/>
  <c r="B52" i="2" s="1"/>
  <c r="B41" i="2" a="1"/>
  <c r="B41" i="2" s="1"/>
  <c r="E41" i="2" s="1"/>
  <c r="B59" i="2" a="1"/>
  <c r="B59" i="2" s="1"/>
  <c r="D37" i="2" l="1"/>
  <c r="D53" i="2"/>
  <c r="E53" i="2"/>
  <c r="D58" i="2"/>
  <c r="E58" i="2"/>
  <c r="D55" i="2"/>
  <c r="E55" i="2"/>
  <c r="D59" i="2"/>
  <c r="E59" i="2"/>
  <c r="D52" i="2"/>
  <c r="E52" i="2"/>
  <c r="D57" i="2"/>
  <c r="E57" i="2"/>
  <c r="D54" i="2"/>
  <c r="E54" i="2"/>
  <c r="D56" i="2"/>
  <c r="E56" i="2"/>
  <c r="D51" i="2"/>
  <c r="E51" i="2"/>
  <c r="D41" i="2"/>
  <c r="D46" i="2"/>
  <c r="D43" i="2"/>
  <c r="D40" i="2"/>
  <c r="D45" i="2"/>
  <c r="D39" i="2"/>
  <c r="D44" i="2"/>
  <c r="D38" i="2"/>
</calcChain>
</file>

<file path=xl/comments1.xml><?xml version="1.0" encoding="utf-8"?>
<comments xmlns="http://schemas.openxmlformats.org/spreadsheetml/2006/main">
  <authors>
    <author>Mykel</author>
  </authors>
  <commentList>
    <comment ref="E3" authorId="0" shapeId="0">
      <text>
        <r>
          <rPr>
            <b/>
            <sz val="9"/>
            <color indexed="17"/>
            <rFont val="Tahoma"/>
            <family val="2"/>
          </rPr>
          <t>Choose option from drop down menu</t>
        </r>
      </text>
    </comment>
  </commentList>
</comments>
</file>

<file path=xl/comments2.xml><?xml version="1.0" encoding="utf-8"?>
<comments xmlns="http://schemas.openxmlformats.org/spreadsheetml/2006/main">
  <authors>
    <author>Mykel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Customer Satisfaction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Customer Satisfaction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Customer Satisfaction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 shapeId="0">
      <text>
        <r>
          <rPr>
            <b/>
            <sz val="9"/>
            <color indexed="60"/>
            <rFont val="Tahoma"/>
            <family val="2"/>
          </rPr>
          <t>An Array Formula is used to cater for the situation where two or more members having the same value</t>
        </r>
      </text>
    </comment>
    <comment ref="G36" authorId="0" shapeId="0">
      <text>
        <r>
          <rPr>
            <b/>
            <sz val="9"/>
            <color indexed="60"/>
            <rFont val="Tahoma"/>
            <family val="2"/>
          </rPr>
          <t>An Array Formula is used to cater for the situation where two or more members having the same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9" authorId="0" shapeId="0">
      <text>
        <r>
          <rPr>
            <b/>
            <sz val="9"/>
            <color indexed="10"/>
            <rFont val="Tahoma"/>
            <family val="2"/>
          </rPr>
          <t>An Array Formula is used to cater for the situation where two or more members having the same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9" authorId="0" shapeId="0">
      <text>
        <r>
          <rPr>
            <b/>
            <sz val="9"/>
            <color indexed="10"/>
            <rFont val="Tahoma"/>
            <family val="2"/>
          </rPr>
          <t>An Array Formula is used to cater for the situation where two or more members having the same value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Mykel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Customer Satisfaction</t>
        </r>
      </text>
    </comment>
  </commentList>
</comments>
</file>

<file path=xl/sharedStrings.xml><?xml version="1.0" encoding="utf-8"?>
<sst xmlns="http://schemas.openxmlformats.org/spreadsheetml/2006/main" count="501" uniqueCount="161">
  <si>
    <t>Team</t>
  </si>
  <si>
    <t>Team Members</t>
  </si>
  <si>
    <t>Product</t>
  </si>
  <si>
    <t>Sale Date</t>
  </si>
  <si>
    <t>Region</t>
  </si>
  <si>
    <t>Login Hours</t>
  </si>
  <si>
    <t>Total Talk Time</t>
  </si>
  <si>
    <t>Total Hold Time</t>
  </si>
  <si>
    <t>Sales</t>
  </si>
  <si>
    <t>Sales Per Hour</t>
  </si>
  <si>
    <t>Revenue</t>
  </si>
  <si>
    <t>Revenue Per Hour</t>
  </si>
  <si>
    <t>Calls</t>
  </si>
  <si>
    <t>Excellent</t>
  </si>
  <si>
    <t>Good</t>
  </si>
  <si>
    <t>Fair</t>
  </si>
  <si>
    <t>Poor</t>
  </si>
  <si>
    <t>Total</t>
  </si>
  <si>
    <t>Sierra</t>
  </si>
  <si>
    <t>Hawaii</t>
  </si>
  <si>
    <t>http://www.excelforum.com/2014-excel-dashboard-competition/1042488-2014-excelforum-dashboard-competition.html</t>
  </si>
  <si>
    <t>Calista</t>
  </si>
  <si>
    <t>Britanney</t>
  </si>
  <si>
    <t>Florida</t>
  </si>
  <si>
    <t>Medge</t>
  </si>
  <si>
    <t>Quin</t>
  </si>
  <si>
    <t>California</t>
  </si>
  <si>
    <t>Frances</t>
  </si>
  <si>
    <t>Kirestin</t>
  </si>
  <si>
    <t>Flavia</t>
  </si>
  <si>
    <t>Alabama</t>
  </si>
  <si>
    <t>Illana</t>
  </si>
  <si>
    <t>Colorado</t>
  </si>
  <si>
    <t>Jeremy</t>
  </si>
  <si>
    <t>Hoyt</t>
  </si>
  <si>
    <t>Constance</t>
  </si>
  <si>
    <t>April</t>
  </si>
  <si>
    <t>Madeson</t>
  </si>
  <si>
    <t>Hermione</t>
  </si>
  <si>
    <t>Connecticut</t>
  </si>
  <si>
    <t>Noelani</t>
  </si>
  <si>
    <t>Ariel</t>
  </si>
  <si>
    <t>Serena</t>
  </si>
  <si>
    <t>Rafael</t>
  </si>
  <si>
    <t>Audra</t>
  </si>
  <si>
    <t>Dai</t>
  </si>
  <si>
    <t>Portia</t>
  </si>
  <si>
    <t>Lois</t>
  </si>
  <si>
    <t>Kirby</t>
  </si>
  <si>
    <t>Heather</t>
  </si>
  <si>
    <t>Amanda</t>
  </si>
  <si>
    <t>Gretchen</t>
  </si>
  <si>
    <t>Dara</t>
  </si>
  <si>
    <t>Addison</t>
  </si>
  <si>
    <t>Galena</t>
  </si>
  <si>
    <t>Rosalyn</t>
  </si>
  <si>
    <t>Giselle</t>
  </si>
  <si>
    <t>Shaine</t>
  </si>
  <si>
    <t>Winifred</t>
  </si>
  <si>
    <t>Tatum</t>
  </si>
  <si>
    <t>Brynne</t>
  </si>
  <si>
    <t>Hilary</t>
  </si>
  <si>
    <t>Daria</t>
  </si>
  <si>
    <t>Cleo</t>
  </si>
  <si>
    <t>Deanna</t>
  </si>
  <si>
    <t>Phyllis</t>
  </si>
  <si>
    <t>Oscar</t>
  </si>
  <si>
    <t>Abel</t>
  </si>
  <si>
    <t>Gay</t>
  </si>
  <si>
    <t>Aileen</t>
  </si>
  <si>
    <t>Nola</t>
  </si>
  <si>
    <t>Alec</t>
  </si>
  <si>
    <t>Amber</t>
  </si>
  <si>
    <t>Maris</t>
  </si>
  <si>
    <t>Ivory</t>
  </si>
  <si>
    <t>Patricia</t>
  </si>
  <si>
    <t>Mallory</t>
  </si>
  <si>
    <t>Karyn</t>
  </si>
  <si>
    <t>Camille</t>
  </si>
  <si>
    <t>Rhoda</t>
  </si>
  <si>
    <t>Jena</t>
  </si>
  <si>
    <t>Darryl</t>
  </si>
  <si>
    <t>Luke</t>
  </si>
  <si>
    <t>Guinevere</t>
  </si>
  <si>
    <t>Cheyenne</t>
  </si>
  <si>
    <t>Zenia</t>
  </si>
  <si>
    <t>Nevada</t>
  </si>
  <si>
    <t>Jana</t>
  </si>
  <si>
    <t>Lacy</t>
  </si>
  <si>
    <t>Illiana</t>
  </si>
  <si>
    <t>Ashely</t>
  </si>
  <si>
    <t>Yolanda</t>
  </si>
  <si>
    <t>Shelley</t>
  </si>
  <si>
    <t>Regina</t>
  </si>
  <si>
    <t>Riley</t>
  </si>
  <si>
    <t>Nomlanga</t>
  </si>
  <si>
    <t>Quyn</t>
  </si>
  <si>
    <t>Ariana</t>
  </si>
  <si>
    <t>Juliet</t>
  </si>
  <si>
    <t>Dana</t>
  </si>
  <si>
    <t>Courtney</t>
  </si>
  <si>
    <t>Carolyn</t>
  </si>
  <si>
    <t>Shelby</t>
  </si>
  <si>
    <t>Pamela</t>
  </si>
  <si>
    <t>Farrah</t>
  </si>
  <si>
    <t>Miriam</t>
  </si>
  <si>
    <t>Katelyn</t>
  </si>
  <si>
    <t>Rowan</t>
  </si>
  <si>
    <t>Tashya</t>
  </si>
  <si>
    <t>Xantha</t>
  </si>
  <si>
    <t>Rae</t>
  </si>
  <si>
    <t>Serina</t>
  </si>
  <si>
    <t>Sydnee</t>
  </si>
  <si>
    <t>Libby</t>
  </si>
  <si>
    <t>Inez</t>
  </si>
  <si>
    <t>Stacy</t>
  </si>
  <si>
    <t>Keelie</t>
  </si>
  <si>
    <t>Olympia</t>
  </si>
  <si>
    <t>Iona</t>
  </si>
  <si>
    <t>Renee</t>
  </si>
  <si>
    <t>Madeline</t>
  </si>
  <si>
    <t>Melodie</t>
  </si>
  <si>
    <t>Kendall</t>
  </si>
  <si>
    <t>Xerxes</t>
  </si>
  <si>
    <t>Fleur</t>
  </si>
  <si>
    <t>Zia</t>
  </si>
  <si>
    <t>Mercedes</t>
  </si>
  <si>
    <t>Teams</t>
  </si>
  <si>
    <t>Team Member</t>
  </si>
  <si>
    <t>CSAT%</t>
  </si>
  <si>
    <t>Reisling</t>
  </si>
  <si>
    <t>Shiraz</t>
  </si>
  <si>
    <t>Data Analysis - Reisling and Shiraz</t>
  </si>
  <si>
    <t>Reisling and Shiraz</t>
  </si>
  <si>
    <t>Analysis of</t>
  </si>
  <si>
    <t>CSAT% Avg.</t>
  </si>
  <si>
    <t>Date:</t>
  </si>
  <si>
    <t>Product Sold</t>
  </si>
  <si>
    <r>
      <rPr>
        <b/>
        <sz val="18"/>
        <color theme="6" tint="0.59999389629810485"/>
        <rFont val="Calibri Light"/>
        <family val="2"/>
        <scheme val="major"/>
      </rPr>
      <t xml:space="preserve">             </t>
    </r>
    <r>
      <rPr>
        <b/>
        <u/>
        <sz val="18"/>
        <color theme="6" tint="0.59999389629810485"/>
        <rFont val="Calibri Light"/>
        <family val="2"/>
        <scheme val="major"/>
      </rPr>
      <t>Red &amp; White Wines Dashboard</t>
    </r>
  </si>
  <si>
    <t>Top Team Members - Sales per Hour</t>
  </si>
  <si>
    <t>Sales per Hour</t>
  </si>
  <si>
    <t>Calls per Sale</t>
  </si>
  <si>
    <t>Bottom Team Members - Sales per Hour</t>
  </si>
  <si>
    <t xml:space="preserve">    Analysis of</t>
  </si>
  <si>
    <t>For more details on Regional Sales</t>
  </si>
  <si>
    <t>For more details on Sales per Hour</t>
  </si>
  <si>
    <t>For more details on Sales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</si>
  <si>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</si>
  <si>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</si>
  <si>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</si>
  <si>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</si>
  <si>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</si>
  <si>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</si>
  <si>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</si>
  <si>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</si>
  <si>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</si>
  <si>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</si>
  <si>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r>
      <rPr>
        <sz val="11"/>
        <color theme="10"/>
        <rFont val="Calibri"/>
        <family val="2"/>
        <scheme val="minor"/>
      </rPr>
      <t xml:space="preserve">         </t>
    </r>
    <r>
      <rPr>
        <u/>
        <sz val="11"/>
        <color theme="10"/>
        <rFont val="Calibri"/>
        <family val="2"/>
        <scheme val="minor"/>
      </rPr>
      <t xml:space="preserve">For more details on Team Sales </t>
    </r>
  </si>
  <si>
    <r>
      <rPr>
        <sz val="11"/>
        <color theme="10"/>
        <rFont val="Calibri"/>
        <family val="2"/>
        <scheme val="minor"/>
      </rPr>
      <t xml:space="preserve">         </t>
    </r>
    <r>
      <rPr>
        <u/>
        <sz val="11"/>
        <color theme="10"/>
        <rFont val="Calibri"/>
        <family val="2"/>
        <scheme val="minor"/>
      </rPr>
      <t>For more details on Average Calls Required per Sale</t>
    </r>
  </si>
  <si>
    <t>Top Team Members - Average Calls Required per Sale</t>
  </si>
  <si>
    <t>Bottom Team Members - Average Calls Required per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</si>
</sst>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0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9" tint="-0.499984740745262"/>
      <name val="Calibri"/>
      <family val="2"/>
      <scheme val="minor"/>
    </font>
    <font>
      <b/>
      <sz val="10"/>
      <color theme="8" tint="-0.249977111117893"/>
      <name val="Verdana"/>
      <family val="2"/>
    </font>
    <font>
      <sz val="10"/>
      <color theme="1"/>
      <name val="Verdana"/>
      <family val="2"/>
    </font>
    <font>
      <sz val="11"/>
      <color theme="1"/>
      <name val="Calibri Light"/>
      <family val="2"/>
      <scheme val="major"/>
    </font>
    <font>
      <b/>
      <sz val="12"/>
      <color theme="6" tint="0.59999389629810485"/>
      <name val="Calibri Light"/>
      <family val="2"/>
      <scheme val="major"/>
    </font>
    <font>
      <b/>
      <sz val="14"/>
      <color theme="6" tint="0.59999389629810485"/>
      <name val="Calibri Light"/>
      <family val="2"/>
      <scheme val="major"/>
    </font>
    <font>
      <b/>
      <sz val="11"/>
      <color rgb="FF00206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b/>
      <sz val="11"/>
      <color theme="0" tint="-4.9989318521683403E-2"/>
      <name val="Calibri Light"/>
      <family val="2"/>
      <scheme val="major"/>
    </font>
    <font>
      <b/>
      <sz val="12"/>
      <color theme="0" tint="-4.9989318521683403E-2"/>
      <name val="Calibri Light"/>
      <family val="2"/>
      <scheme val="major"/>
    </font>
    <font>
      <sz val="11"/>
      <color rgb="FF8439BD"/>
      <name val="Calibri"/>
      <family val="2"/>
      <scheme val="minor"/>
    </font>
    <font>
      <b/>
      <u/>
      <sz val="18"/>
      <color theme="6" tint="0.59999389629810485"/>
      <name val="Calibri Light"/>
      <family val="2"/>
      <scheme val="major"/>
    </font>
    <font>
      <b/>
      <u/>
      <sz val="14"/>
      <color theme="6" tint="0.59999389629810485"/>
      <name val="Calibri Light"/>
      <family val="2"/>
      <scheme val="major"/>
    </font>
    <font>
      <sz val="11"/>
      <color rgb="FF62983E"/>
      <name val="Calibri"/>
      <family val="2"/>
      <scheme val="minor"/>
    </font>
    <font>
      <b/>
      <sz val="9"/>
      <color indexed="17"/>
      <name val="Tahoma"/>
      <family val="2"/>
    </font>
    <font>
      <b/>
      <sz val="18"/>
      <color theme="6" tint="0.59999389629810485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rgb="FF6A310A"/>
      <name val="Calibri"/>
      <family val="2"/>
      <scheme val="minor"/>
    </font>
    <font>
      <b/>
      <sz val="11"/>
      <color rgb="FF6A310A"/>
      <name val="Calibri"/>
      <family val="2"/>
      <scheme val="minor"/>
    </font>
    <font>
      <b/>
      <sz val="11"/>
      <color rgb="FF7030A0"/>
      <name val="Calibri Light"/>
      <family val="2"/>
      <scheme val="maj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9"/>
      <color indexed="60"/>
      <name val="Tahoma"/>
      <family val="2"/>
    </font>
    <font>
      <b/>
      <sz val="9"/>
      <color indexed="10"/>
      <name val="Tahoma"/>
      <family val="2"/>
    </font>
    <font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8439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2983E"/>
        <bgColor indexed="64"/>
      </patternFill>
    </fill>
    <fill>
      <patternFill patternType="solid">
        <fgColor rgb="FFF8E07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7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Fill="0" applyProtection="0"/>
    <xf numFmtId="0" fontId="30" fillId="0" borderId="0" applyNumberFormat="0" applyFill="0" applyBorder="0" applyAlignment="0" applyProtection="0"/>
  </cellStyleXfs>
  <cellXfs count="164">
    <xf numFmtId="0" fontId="0" fillId="0" borderId="0" xfId="0"/>
    <xf numFmtId="0" fontId="3" fillId="2" borderId="0" xfId="2" applyFont="1" applyFill="1" applyAlignment="1" applyProtection="1">
      <alignment horizontal="center"/>
    </xf>
    <xf numFmtId="0" fontId="4" fillId="0" borderId="0" xfId="2" applyFont="1" applyFill="1" applyProtection="1"/>
    <xf numFmtId="14" fontId="4" fillId="0" borderId="0" xfId="2" applyNumberFormat="1" applyFont="1" applyFill="1" applyProtection="1"/>
    <xf numFmtId="0" fontId="4" fillId="0" borderId="0" xfId="2" applyFont="1"/>
    <xf numFmtId="164" fontId="4" fillId="0" borderId="0" xfId="2" applyNumberFormat="1" applyFont="1" applyFill="1" applyProtection="1"/>
    <xf numFmtId="2" fontId="4" fillId="0" borderId="0" xfId="2" applyNumberFormat="1" applyFont="1" applyFill="1" applyProtection="1"/>
    <xf numFmtId="1" fontId="4" fillId="0" borderId="0" xfId="2" applyNumberFormat="1" applyFont="1" applyFill="1" applyProtection="1"/>
    <xf numFmtId="9" fontId="4" fillId="0" borderId="0" xfId="1" applyFont="1" applyFill="1" applyProtection="1"/>
    <xf numFmtId="0" fontId="3" fillId="0" borderId="0" xfId="2" applyFont="1" applyFill="1" applyProtection="1"/>
    <xf numFmtId="0" fontId="0" fillId="0" borderId="0" xfId="0" applyBorder="1"/>
    <xf numFmtId="0" fontId="6" fillId="8" borderId="5" xfId="0" applyFont="1" applyFill="1" applyBorder="1"/>
    <xf numFmtId="0" fontId="6" fillId="8" borderId="2" xfId="0" applyFont="1" applyFill="1" applyBorder="1"/>
    <xf numFmtId="0" fontId="8" fillId="0" borderId="0" xfId="0" applyFont="1"/>
    <xf numFmtId="0" fontId="11" fillId="6" borderId="1" xfId="0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0" fontId="12" fillId="4" borderId="5" xfId="0" applyFont="1" applyFill="1" applyBorder="1"/>
    <xf numFmtId="2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2" fillId="4" borderId="3" xfId="0" applyFont="1" applyFill="1" applyBorder="1"/>
    <xf numFmtId="0" fontId="10" fillId="4" borderId="4" xfId="0" applyFont="1" applyFill="1" applyBorder="1" applyAlignment="1">
      <alignment horizontal="center"/>
    </xf>
    <xf numFmtId="2" fontId="10" fillId="4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5" fontId="10" fillId="4" borderId="6" xfId="1" applyNumberFormat="1" applyFont="1" applyFill="1" applyBorder="1" applyAlignment="1">
      <alignment horizontal="center"/>
    </xf>
    <xf numFmtId="165" fontId="10" fillId="4" borderId="19" xfId="1" applyNumberFormat="1" applyFont="1" applyFill="1" applyBorder="1" applyAlignment="1">
      <alignment horizontal="center"/>
    </xf>
    <xf numFmtId="165" fontId="10" fillId="4" borderId="11" xfId="1" applyNumberFormat="1" applyFont="1" applyFill="1" applyBorder="1" applyAlignment="1">
      <alignment horizontal="center"/>
    </xf>
    <xf numFmtId="0" fontId="12" fillId="4" borderId="2" xfId="0" applyFont="1" applyFill="1" applyBorder="1"/>
    <xf numFmtId="0" fontId="10" fillId="4" borderId="7" xfId="0" applyFont="1" applyFill="1" applyBorder="1" applyAlignment="1">
      <alignment horizontal="center"/>
    </xf>
    <xf numFmtId="2" fontId="10" fillId="4" borderId="7" xfId="0" applyNumberFormat="1" applyFont="1" applyFill="1" applyBorder="1" applyAlignment="1">
      <alignment horizontal="center"/>
    </xf>
    <xf numFmtId="165" fontId="10" fillId="4" borderId="8" xfId="1" applyNumberFormat="1" applyFont="1" applyFill="1" applyBorder="1" applyAlignment="1">
      <alignment horizontal="center"/>
    </xf>
    <xf numFmtId="165" fontId="11" fillId="6" borderId="6" xfId="1" applyNumberFormat="1" applyFont="1" applyFill="1" applyBorder="1" applyAlignment="1">
      <alignment horizontal="center"/>
    </xf>
    <xf numFmtId="165" fontId="0" fillId="8" borderId="1" xfId="1" applyNumberFormat="1" applyFont="1" applyFill="1" applyBorder="1" applyAlignment="1">
      <alignment horizontal="center"/>
    </xf>
    <xf numFmtId="165" fontId="0" fillId="8" borderId="7" xfId="1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20" fillId="3" borderId="12" xfId="0" applyFont="1" applyFill="1" applyBorder="1"/>
    <xf numFmtId="0" fontId="20" fillId="3" borderId="13" xfId="0" applyFont="1" applyFill="1" applyBorder="1" applyAlignment="1">
      <alignment horizontal="center"/>
    </xf>
    <xf numFmtId="2" fontId="20" fillId="3" borderId="13" xfId="0" applyNumberFormat="1" applyFont="1" applyFill="1" applyBorder="1" applyAlignment="1">
      <alignment horizontal="center"/>
    </xf>
    <xf numFmtId="165" fontId="20" fillId="3" borderId="14" xfId="1" applyNumberFormat="1" applyFont="1" applyFill="1" applyBorder="1" applyAlignment="1">
      <alignment horizontal="center"/>
    </xf>
    <xf numFmtId="0" fontId="20" fillId="3" borderId="20" xfId="2" applyFont="1" applyFill="1" applyBorder="1" applyAlignment="1" applyProtection="1">
      <alignment horizontal="left"/>
    </xf>
    <xf numFmtId="0" fontId="20" fillId="3" borderId="18" xfId="2" applyFont="1" applyFill="1" applyBorder="1" applyAlignment="1" applyProtection="1">
      <alignment horizontal="center"/>
    </xf>
    <xf numFmtId="0" fontId="20" fillId="3" borderId="19" xfId="2" applyFont="1" applyFill="1" applyBorder="1" applyAlignment="1" applyProtection="1">
      <alignment horizontal="center"/>
    </xf>
    <xf numFmtId="0" fontId="14" fillId="6" borderId="5" xfId="2" applyFont="1" applyFill="1" applyBorder="1"/>
    <xf numFmtId="0" fontId="16" fillId="0" borderId="0" xfId="0" applyFont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165" fontId="0" fillId="0" borderId="0" xfId="1" applyNumberFormat="1" applyFont="1"/>
    <xf numFmtId="0" fontId="18" fillId="9" borderId="0" xfId="0" applyFont="1" applyFill="1" applyBorder="1" applyAlignment="1">
      <alignment horizontal="center"/>
    </xf>
    <xf numFmtId="15" fontId="19" fillId="9" borderId="0" xfId="0" applyNumberFormat="1" applyFont="1" applyFill="1" applyBorder="1" applyAlignment="1">
      <alignment horizontal="center"/>
    </xf>
    <xf numFmtId="0" fontId="17" fillId="9" borderId="0" xfId="0" applyFont="1" applyFill="1" applyBorder="1"/>
    <xf numFmtId="0" fontId="26" fillId="9" borderId="0" xfId="0" applyFont="1" applyFill="1" applyBorder="1" applyAlignment="1">
      <alignment horizontal="right"/>
    </xf>
    <xf numFmtId="15" fontId="18" fillId="9" borderId="0" xfId="0" applyNumberFormat="1" applyFont="1" applyFill="1" applyBorder="1" applyAlignment="1">
      <alignment horizontal="left"/>
    </xf>
    <xf numFmtId="0" fontId="0" fillId="11" borderId="0" xfId="0" applyFill="1" applyBorder="1"/>
    <xf numFmtId="0" fontId="17" fillId="11" borderId="0" xfId="0" applyFont="1" applyFill="1" applyBorder="1"/>
    <xf numFmtId="10" fontId="27" fillId="0" borderId="0" xfId="1" applyNumberFormat="1" applyFont="1"/>
    <xf numFmtId="15" fontId="19" fillId="11" borderId="0" xfId="0" applyNumberFormat="1" applyFont="1" applyFill="1" applyBorder="1" applyAlignment="1">
      <alignment horizontal="left"/>
    </xf>
    <xf numFmtId="0" fontId="0" fillId="12" borderId="0" xfId="0" applyFill="1" applyBorder="1"/>
    <xf numFmtId="2" fontId="11" fillId="6" borderId="10" xfId="0" applyNumberFormat="1" applyFont="1" applyFill="1" applyBorder="1" applyAlignment="1">
      <alignment horizontal="center"/>
    </xf>
    <xf numFmtId="165" fontId="11" fillId="6" borderId="11" xfId="1" applyNumberFormat="1" applyFont="1" applyFill="1" applyBorder="1" applyAlignment="1">
      <alignment horizontal="center"/>
    </xf>
    <xf numFmtId="0" fontId="14" fillId="6" borderId="9" xfId="2" applyFont="1" applyFill="1" applyBorder="1"/>
    <xf numFmtId="0" fontId="11" fillId="6" borderId="10" xfId="0" applyFont="1" applyFill="1" applyBorder="1" applyAlignment="1">
      <alignment horizontal="center"/>
    </xf>
    <xf numFmtId="0" fontId="21" fillId="5" borderId="12" xfId="2" applyFont="1" applyFill="1" applyBorder="1" applyAlignment="1" applyProtection="1">
      <alignment horizontal="left"/>
    </xf>
    <xf numFmtId="0" fontId="21" fillId="5" borderId="13" xfId="2" applyFont="1" applyFill="1" applyBorder="1" applyAlignment="1" applyProtection="1">
      <alignment horizontal="center"/>
    </xf>
    <xf numFmtId="0" fontId="21" fillId="5" borderId="25" xfId="2" applyFont="1" applyFill="1" applyBorder="1" applyAlignment="1" applyProtection="1">
      <alignment horizontal="center"/>
    </xf>
    <xf numFmtId="0" fontId="21" fillId="5" borderId="14" xfId="2" applyFont="1" applyFill="1" applyBorder="1" applyAlignment="1" applyProtection="1">
      <alignment horizontal="center"/>
    </xf>
    <xf numFmtId="2" fontId="11" fillId="6" borderId="16" xfId="0" applyNumberFormat="1" applyFont="1" applyFill="1" applyBorder="1" applyAlignment="1">
      <alignment horizontal="center"/>
    </xf>
    <xf numFmtId="165" fontId="11" fillId="6" borderId="17" xfId="1" applyNumberFormat="1" applyFont="1" applyFill="1" applyBorder="1" applyAlignment="1">
      <alignment horizontal="center"/>
    </xf>
    <xf numFmtId="0" fontId="14" fillId="6" borderId="15" xfId="2" applyFont="1" applyFill="1" applyBorder="1"/>
    <xf numFmtId="0" fontId="11" fillId="6" borderId="16" xfId="0" applyFont="1" applyFill="1" applyBorder="1" applyAlignment="1">
      <alignment horizontal="center"/>
    </xf>
    <xf numFmtId="0" fontId="21" fillId="5" borderId="12" xfId="0" applyFont="1" applyFill="1" applyBorder="1"/>
    <xf numFmtId="0" fontId="21" fillId="5" borderId="13" xfId="0" applyFont="1" applyFill="1" applyBorder="1" applyAlignment="1">
      <alignment horizontal="center"/>
    </xf>
    <xf numFmtId="2" fontId="21" fillId="5" borderId="13" xfId="0" applyNumberFormat="1" applyFont="1" applyFill="1" applyBorder="1" applyAlignment="1">
      <alignment horizontal="center"/>
    </xf>
    <xf numFmtId="0" fontId="21" fillId="5" borderId="25" xfId="0" applyFont="1" applyFill="1" applyBorder="1" applyAlignment="1">
      <alignment horizontal="center"/>
    </xf>
    <xf numFmtId="165" fontId="21" fillId="5" borderId="14" xfId="1" applyNumberFormat="1" applyFont="1" applyFill="1" applyBorder="1" applyAlignment="1">
      <alignment horizontal="center"/>
    </xf>
    <xf numFmtId="0" fontId="32" fillId="14" borderId="5" xfId="0" applyFont="1" applyFill="1" applyBorder="1"/>
    <xf numFmtId="0" fontId="32" fillId="14" borderId="2" xfId="0" applyFont="1" applyFill="1" applyBorder="1"/>
    <xf numFmtId="165" fontId="4" fillId="0" borderId="0" xfId="1" applyNumberFormat="1" applyFont="1" applyFill="1" applyProtection="1"/>
    <xf numFmtId="165" fontId="31" fillId="14" borderId="1" xfId="1" applyNumberFormat="1" applyFont="1" applyFill="1" applyBorder="1" applyAlignment="1">
      <alignment horizontal="center"/>
    </xf>
    <xf numFmtId="165" fontId="31" fillId="14" borderId="7" xfId="1" applyNumberFormat="1" applyFont="1" applyFill="1" applyBorder="1" applyAlignment="1">
      <alignment horizontal="center"/>
    </xf>
    <xf numFmtId="0" fontId="32" fillId="14" borderId="6" xfId="0" applyFont="1" applyFill="1" applyBorder="1" applyAlignment="1">
      <alignment horizontal="center"/>
    </xf>
    <xf numFmtId="0" fontId="32" fillId="14" borderId="8" xfId="0" applyFont="1" applyFill="1" applyBorder="1" applyAlignment="1">
      <alignment horizontal="center"/>
    </xf>
    <xf numFmtId="164" fontId="7" fillId="0" borderId="0" xfId="1" applyNumberFormat="1" applyFont="1" applyAlignment="1">
      <alignment horizontal="left" vertical="center" indent="2"/>
    </xf>
    <xf numFmtId="0" fontId="30" fillId="12" borderId="0" xfId="3" applyFill="1" applyBorder="1" applyAlignment="1">
      <alignment horizontal="center"/>
    </xf>
    <xf numFmtId="0" fontId="30" fillId="12" borderId="0" xfId="3" applyFill="1" applyBorder="1" applyAlignment="1">
      <alignment horizontal="left"/>
    </xf>
    <xf numFmtId="0" fontId="34" fillId="15" borderId="9" xfId="0" applyFont="1" applyFill="1" applyBorder="1"/>
    <xf numFmtId="0" fontId="35" fillId="15" borderId="10" xfId="0" applyFont="1" applyFill="1" applyBorder="1" applyAlignment="1">
      <alignment horizontal="center"/>
    </xf>
    <xf numFmtId="2" fontId="35" fillId="15" borderId="10" xfId="0" applyNumberFormat="1" applyFont="1" applyFill="1" applyBorder="1" applyAlignment="1">
      <alignment horizontal="center"/>
    </xf>
    <xf numFmtId="165" fontId="35" fillId="15" borderId="11" xfId="1" applyNumberFormat="1" applyFont="1" applyFill="1" applyBorder="1" applyAlignment="1">
      <alignment horizontal="center"/>
    </xf>
    <xf numFmtId="0" fontId="34" fillId="15" borderId="15" xfId="0" applyFont="1" applyFill="1" applyBorder="1"/>
    <xf numFmtId="1" fontId="35" fillId="15" borderId="16" xfId="0" applyNumberFormat="1" applyFont="1" applyFill="1" applyBorder="1" applyAlignment="1">
      <alignment horizontal="center"/>
    </xf>
    <xf numFmtId="2" fontId="35" fillId="15" borderId="16" xfId="0" applyNumberFormat="1" applyFont="1" applyFill="1" applyBorder="1" applyAlignment="1">
      <alignment horizontal="center"/>
    </xf>
    <xf numFmtId="0" fontId="35" fillId="15" borderId="16" xfId="0" applyFont="1" applyFill="1" applyBorder="1" applyAlignment="1">
      <alignment horizontal="center"/>
    </xf>
    <xf numFmtId="0" fontId="33" fillId="10" borderId="12" xfId="0" applyFont="1" applyFill="1" applyBorder="1"/>
    <xf numFmtId="0" fontId="33" fillId="10" borderId="13" xfId="0" applyFont="1" applyFill="1" applyBorder="1" applyAlignment="1">
      <alignment horizontal="center"/>
    </xf>
    <xf numFmtId="2" fontId="33" fillId="10" borderId="13" xfId="0" applyNumberFormat="1" applyFont="1" applyFill="1" applyBorder="1" applyAlignment="1">
      <alignment horizontal="center"/>
    </xf>
    <xf numFmtId="165" fontId="33" fillId="10" borderId="14" xfId="1" applyNumberFormat="1" applyFont="1" applyFill="1" applyBorder="1" applyAlignment="1">
      <alignment horizontal="center"/>
    </xf>
    <xf numFmtId="164" fontId="0" fillId="8" borderId="1" xfId="1" applyNumberFormat="1" applyFont="1" applyFill="1" applyBorder="1" applyAlignment="1">
      <alignment horizontal="center"/>
    </xf>
    <xf numFmtId="164" fontId="0" fillId="8" borderId="7" xfId="1" applyNumberFormat="1" applyFont="1" applyFill="1" applyBorder="1" applyAlignment="1">
      <alignment horizontal="center"/>
    </xf>
    <xf numFmtId="164" fontId="31" fillId="14" borderId="1" xfId="1" applyNumberFormat="1" applyFont="1" applyFill="1" applyBorder="1" applyAlignment="1">
      <alignment horizontal="center"/>
    </xf>
    <xf numFmtId="164" fontId="31" fillId="14" borderId="7" xfId="1" applyNumberFormat="1" applyFont="1" applyFill="1" applyBorder="1" applyAlignment="1">
      <alignment horizontal="center"/>
    </xf>
    <xf numFmtId="0" fontId="0" fillId="12" borderId="26" xfId="0" applyFill="1" applyBorder="1"/>
    <xf numFmtId="0" fontId="0" fillId="12" borderId="27" xfId="0" applyFill="1" applyBorder="1"/>
    <xf numFmtId="0" fontId="0" fillId="12" borderId="28" xfId="0" applyFill="1" applyBorder="1"/>
    <xf numFmtId="0" fontId="0" fillId="12" borderId="29" xfId="0" applyFill="1" applyBorder="1"/>
    <xf numFmtId="0" fontId="0" fillId="12" borderId="22" xfId="0" applyFill="1" applyBorder="1"/>
    <xf numFmtId="0" fontId="30" fillId="12" borderId="29" xfId="3" applyFill="1" applyBorder="1" applyAlignment="1">
      <alignment horizontal="center"/>
    </xf>
    <xf numFmtId="0" fontId="30" fillId="12" borderId="30" xfId="3" applyFill="1" applyBorder="1"/>
    <xf numFmtId="0" fontId="0" fillId="12" borderId="31" xfId="0" applyFill="1" applyBorder="1"/>
    <xf numFmtId="0" fontId="30" fillId="12" borderId="31" xfId="3" applyFill="1" applyBorder="1"/>
    <xf numFmtId="0" fontId="0" fillId="12" borderId="32" xfId="0" applyFill="1" applyBorder="1"/>
    <xf numFmtId="0" fontId="19" fillId="11" borderId="0" xfId="0" applyFont="1" applyFill="1" applyBorder="1" applyAlignment="1">
      <alignment horizontal="right"/>
    </xf>
    <xf numFmtId="0" fontId="27" fillId="11" borderId="26" xfId="0" applyFont="1" applyFill="1" applyBorder="1"/>
    <xf numFmtId="0" fontId="0" fillId="11" borderId="28" xfId="0" applyFill="1" applyBorder="1"/>
    <xf numFmtId="0" fontId="27" fillId="11" borderId="29" xfId="0" applyFont="1" applyFill="1" applyBorder="1"/>
    <xf numFmtId="0" fontId="0" fillId="11" borderId="22" xfId="0" applyFill="1" applyBorder="1"/>
    <xf numFmtId="0" fontId="27" fillId="11" borderId="30" xfId="0" applyFont="1" applyFill="1" applyBorder="1"/>
    <xf numFmtId="0" fontId="17" fillId="11" borderId="31" xfId="0" applyFont="1" applyFill="1" applyBorder="1"/>
    <xf numFmtId="0" fontId="18" fillId="11" borderId="31" xfId="0" applyFont="1" applyFill="1" applyBorder="1" applyAlignment="1">
      <alignment horizontal="right"/>
    </xf>
    <xf numFmtId="0" fontId="18" fillId="11" borderId="31" xfId="0" applyFont="1" applyFill="1" applyBorder="1" applyAlignment="1">
      <alignment horizontal="left"/>
    </xf>
    <xf numFmtId="15" fontId="18" fillId="11" borderId="31" xfId="0" applyNumberFormat="1" applyFont="1" applyFill="1" applyBorder="1" applyAlignment="1">
      <alignment horizontal="left"/>
    </xf>
    <xf numFmtId="0" fontId="17" fillId="11" borderId="32" xfId="0" applyFont="1" applyFill="1" applyBorder="1"/>
    <xf numFmtId="165" fontId="31" fillId="14" borderId="10" xfId="1" applyNumberFormat="1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/>
    </xf>
    <xf numFmtId="0" fontId="32" fillId="14" borderId="9" xfId="0" applyFont="1" applyFill="1" applyBorder="1"/>
    <xf numFmtId="164" fontId="31" fillId="14" borderId="10" xfId="1" applyNumberFormat="1" applyFont="1" applyFill="1" applyBorder="1" applyAlignment="1">
      <alignment horizontal="center"/>
    </xf>
    <xf numFmtId="0" fontId="22" fillId="13" borderId="12" xfId="0" applyFont="1" applyFill="1" applyBorder="1" applyAlignment="1">
      <alignment horizontal="left" vertical="center"/>
    </xf>
    <xf numFmtId="0" fontId="22" fillId="13" borderId="13" xfId="2" applyFont="1" applyFill="1" applyBorder="1" applyAlignment="1" applyProtection="1">
      <alignment horizontal="center" vertical="center" wrapText="1"/>
    </xf>
    <xf numFmtId="0" fontId="22" fillId="13" borderId="13" xfId="2" applyFont="1" applyFill="1" applyBorder="1" applyAlignment="1" applyProtection="1">
      <alignment horizontal="center" vertical="center"/>
    </xf>
    <xf numFmtId="0" fontId="22" fillId="13" borderId="14" xfId="2" applyFont="1" applyFill="1" applyBorder="1" applyAlignment="1" applyProtection="1">
      <alignment horizontal="center" vertical="center"/>
    </xf>
    <xf numFmtId="0" fontId="6" fillId="8" borderId="9" xfId="0" applyFont="1" applyFill="1" applyBorder="1"/>
    <xf numFmtId="164" fontId="0" fillId="8" borderId="10" xfId="1" applyNumberFormat="1" applyFont="1" applyFill="1" applyBorder="1" applyAlignment="1">
      <alignment horizontal="center"/>
    </xf>
    <xf numFmtId="165" fontId="0" fillId="8" borderId="10" xfId="1" applyNumberFormat="1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22" fillId="7" borderId="12" xfId="0" applyFont="1" applyFill="1" applyBorder="1" applyAlignment="1">
      <alignment horizontal="left" vertical="center"/>
    </xf>
    <xf numFmtId="0" fontId="22" fillId="7" borderId="13" xfId="2" applyFont="1" applyFill="1" applyBorder="1" applyAlignment="1" applyProtection="1">
      <alignment horizontal="center" vertical="center" wrapText="1"/>
    </xf>
    <xf numFmtId="0" fontId="22" fillId="7" borderId="13" xfId="2" applyFont="1" applyFill="1" applyBorder="1" applyAlignment="1" applyProtection="1">
      <alignment horizontal="center" vertical="center"/>
    </xf>
    <xf numFmtId="0" fontId="22" fillId="7" borderId="14" xfId="0" applyFont="1" applyFill="1" applyBorder="1" applyAlignment="1">
      <alignment horizontal="center" vertical="center"/>
    </xf>
    <xf numFmtId="165" fontId="35" fillId="15" borderId="17" xfId="1" applyNumberFormat="1" applyFont="1" applyFill="1" applyBorder="1" applyAlignment="1">
      <alignment horizontal="center"/>
    </xf>
    <xf numFmtId="10" fontId="0" fillId="0" borderId="0" xfId="1" applyNumberFormat="1" applyFont="1"/>
    <xf numFmtId="0" fontId="0" fillId="9" borderId="26" xfId="0" applyFill="1" applyBorder="1"/>
    <xf numFmtId="0" fontId="0" fillId="9" borderId="29" xfId="0" applyFill="1" applyBorder="1"/>
    <xf numFmtId="0" fontId="0" fillId="9" borderId="22" xfId="0" applyFill="1" applyBorder="1"/>
    <xf numFmtId="0" fontId="0" fillId="9" borderId="30" xfId="0" applyFill="1" applyBorder="1"/>
    <xf numFmtId="0" fontId="33" fillId="10" borderId="33" xfId="2" applyFont="1" applyFill="1" applyBorder="1" applyAlignment="1" applyProtection="1">
      <alignment horizontal="left"/>
    </xf>
    <xf numFmtId="0" fontId="33" fillId="10" borderId="34" xfId="2" applyFont="1" applyFill="1" applyBorder="1" applyAlignment="1" applyProtection="1">
      <alignment horizontal="center"/>
    </xf>
    <xf numFmtId="0" fontId="33" fillId="10" borderId="35" xfId="2" applyFont="1" applyFill="1" applyBorder="1" applyAlignment="1" applyProtection="1">
      <alignment horizontal="center"/>
    </xf>
    <xf numFmtId="0" fontId="24" fillId="9" borderId="22" xfId="0" applyFont="1" applyFill="1" applyBorder="1"/>
    <xf numFmtId="0" fontId="0" fillId="9" borderId="31" xfId="0" applyFill="1" applyBorder="1"/>
    <xf numFmtId="0" fontId="0" fillId="9" borderId="32" xfId="0" applyFill="1" applyBorder="1"/>
    <xf numFmtId="0" fontId="30" fillId="12" borderId="0" xfId="3" applyFill="1" applyBorder="1" applyAlignment="1">
      <alignment horizontal="left"/>
    </xf>
    <xf numFmtId="0" fontId="30" fillId="12" borderId="22" xfId="3" applyFill="1" applyBorder="1" applyAlignment="1">
      <alignment horizontal="left"/>
    </xf>
    <xf numFmtId="0" fontId="30" fillId="12" borderId="0" xfId="3" applyFill="1" applyBorder="1" applyAlignment="1">
      <alignment horizontal="center" wrapText="1"/>
    </xf>
    <xf numFmtId="0" fontId="30" fillId="12" borderId="29" xfId="3" applyFill="1" applyBorder="1" applyAlignment="1">
      <alignment horizontal="left"/>
    </xf>
    <xf numFmtId="0" fontId="25" fillId="11" borderId="27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right"/>
    </xf>
    <xf numFmtId="0" fontId="23" fillId="13" borderId="23" xfId="0" applyFont="1" applyFill="1" applyBorder="1" applyAlignment="1">
      <alignment horizontal="center"/>
    </xf>
    <xf numFmtId="0" fontId="23" fillId="13" borderId="24" xfId="0" applyFont="1" applyFill="1" applyBorder="1" applyAlignment="1">
      <alignment horizontal="center"/>
    </xf>
    <xf numFmtId="0" fontId="23" fillId="13" borderId="21" xfId="0" applyFont="1" applyFill="1" applyBorder="1" applyAlignment="1">
      <alignment horizontal="center"/>
    </xf>
    <xf numFmtId="0" fontId="23" fillId="7" borderId="12" xfId="0" applyFont="1" applyFill="1" applyBorder="1" applyAlignment="1">
      <alignment horizontal="center"/>
    </xf>
    <xf numFmtId="0" fontId="23" fillId="7" borderId="13" xfId="0" applyFont="1" applyFill="1" applyBorder="1" applyAlignment="1">
      <alignment horizontal="center"/>
    </xf>
    <xf numFmtId="0" fontId="23" fillId="7" borderId="14" xfId="0" applyFont="1" applyFill="1" applyBorder="1" applyAlignment="1">
      <alignment horizontal="center"/>
    </xf>
    <xf numFmtId="0" fontId="25" fillId="9" borderId="27" xfId="0" applyFont="1" applyFill="1" applyBorder="1" applyAlignment="1">
      <alignment horizontal="center"/>
    </xf>
    <xf numFmtId="0" fontId="25" fillId="9" borderId="28" xfId="0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6A310A"/>
      <color rgb="FFF8E078"/>
      <color rgb="FFFFFF75"/>
      <color rgb="FFE3F87C"/>
      <color rgb="FFF4AF80"/>
      <color rgb="FFB08200"/>
      <color rgb="FFBC8B00"/>
      <color rgb="FFB48500"/>
      <color rgb="FFF7CD79"/>
      <color rgb="FF6298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bg1">
                    <a:lumMod val="85000"/>
                  </a:schemeClr>
                </a:solidFill>
              </a:rPr>
              <a:t>Team Sales &amp; Sales per Hour</a:t>
            </a:r>
          </a:p>
        </c:rich>
      </c:tx>
      <c:layout>
        <c:manualLayout>
          <c:xMode val="edge"/>
          <c:yMode val="edge"/>
          <c:x val="0.16116858843135509"/>
          <c:y val="2.7137607435277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Analysis!$C$10</c:f>
              <c:strCache>
                <c:ptCount val="1"/>
                <c:pt idx="0">
                  <c:v>Sales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Analysis!$B$11:$B$20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Analysis!$C$11:$C$20</c:f>
              <c:numCache>
                <c:formatCode>General</c:formatCode>
                <c:ptCount val="10"/>
                <c:pt idx="0">
                  <c:v>203</c:v>
                </c:pt>
                <c:pt idx="1">
                  <c:v>212</c:v>
                </c:pt>
                <c:pt idx="2">
                  <c:v>190</c:v>
                </c:pt>
                <c:pt idx="3">
                  <c:v>187</c:v>
                </c:pt>
                <c:pt idx="4">
                  <c:v>215</c:v>
                </c:pt>
                <c:pt idx="5">
                  <c:v>197</c:v>
                </c:pt>
                <c:pt idx="6">
                  <c:v>201</c:v>
                </c:pt>
                <c:pt idx="7">
                  <c:v>195</c:v>
                </c:pt>
                <c:pt idx="8">
                  <c:v>209</c:v>
                </c:pt>
                <c:pt idx="9">
                  <c:v>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axId val="292458160"/>
        <c:axId val="292455024"/>
      </c:barChart>
      <c:lineChart>
        <c:grouping val="standard"/>
        <c:varyColors val="0"/>
        <c:ser>
          <c:idx val="1"/>
          <c:order val="1"/>
          <c:tx>
            <c:strRef>
              <c:f>Analysis!$D$10</c:f>
              <c:strCache>
                <c:ptCount val="1"/>
                <c:pt idx="0">
                  <c:v>Sales Per Hour</c:v>
                </c:pt>
              </c:strCache>
            </c:strRef>
          </c:tx>
          <c:spPr>
            <a:ln w="34925" cap="rnd">
              <a:solidFill>
                <a:schemeClr val="accent5">
                  <a:tint val="77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Analysis!$B$11:$B$20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Analysis!$D$11:$D$20</c:f>
              <c:numCache>
                <c:formatCode>0.00</c:formatCode>
                <c:ptCount val="10"/>
                <c:pt idx="0">
                  <c:v>26.749607164648033</c:v>
                </c:pt>
                <c:pt idx="1">
                  <c:v>27.593409845773873</c:v>
                </c:pt>
                <c:pt idx="2">
                  <c:v>25.152082418965321</c:v>
                </c:pt>
                <c:pt idx="3">
                  <c:v>24.266606076017013</c:v>
                </c:pt>
                <c:pt idx="4">
                  <c:v>27.912387076188967</c:v>
                </c:pt>
                <c:pt idx="5">
                  <c:v>25.817569546514672</c:v>
                </c:pt>
                <c:pt idx="6">
                  <c:v>26.47965882337424</c:v>
                </c:pt>
                <c:pt idx="7">
                  <c:v>25.381072459682443</c:v>
                </c:pt>
                <c:pt idx="8">
                  <c:v>27.499822948036972</c:v>
                </c:pt>
                <c:pt idx="9">
                  <c:v>27.029176716435359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60904"/>
        <c:axId val="292456200"/>
      </c:lineChart>
      <c:catAx>
        <c:axId val="29245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455024"/>
        <c:crosses val="autoZero"/>
        <c:auto val="1"/>
        <c:lblAlgn val="ctr"/>
        <c:lblOffset val="100"/>
        <c:noMultiLvlLbl val="0"/>
      </c:catAx>
      <c:valAx>
        <c:axId val="29245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458160"/>
        <c:crosses val="autoZero"/>
        <c:crossBetween val="between"/>
      </c:valAx>
      <c:valAx>
        <c:axId val="29245620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460904"/>
        <c:crosses val="max"/>
        <c:crossBetween val="between"/>
      </c:valAx>
      <c:catAx>
        <c:axId val="29246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245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chemeClr val="bg1">
                    <a:lumMod val="85000"/>
                  </a:schemeClr>
                </a:solidFill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Regional Sales &amp; Sales per Hour</a:t>
            </a:r>
            <a:endParaRPr lang="en-AU" sz="1200">
              <a:solidFill>
                <a:schemeClr val="bg1">
                  <a:lumMod val="85000"/>
                </a:schemeClr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Analysis!$C$23</c:f>
              <c:strCache>
                <c:ptCount val="1"/>
                <c:pt idx="0">
                  <c:v>Sales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Analysis!$B$24:$B$29</c:f>
              <c:strCache>
                <c:ptCount val="6"/>
                <c:pt idx="0">
                  <c:v>Alabama</c:v>
                </c:pt>
                <c:pt idx="1">
                  <c:v>California</c:v>
                </c:pt>
                <c:pt idx="2">
                  <c:v>Connecticut</c:v>
                </c:pt>
                <c:pt idx="3">
                  <c:v>Colorado</c:v>
                </c:pt>
                <c:pt idx="4">
                  <c:v>Florida</c:v>
                </c:pt>
                <c:pt idx="5">
                  <c:v>Hawaii</c:v>
                </c:pt>
              </c:strCache>
            </c:strRef>
          </c:cat>
          <c:val>
            <c:numRef>
              <c:f>Analysis!$C$24:$C$29</c:f>
              <c:numCache>
                <c:formatCode>General</c:formatCode>
                <c:ptCount val="6"/>
                <c:pt idx="0">
                  <c:v>351</c:v>
                </c:pt>
                <c:pt idx="1">
                  <c:v>341</c:v>
                </c:pt>
                <c:pt idx="2">
                  <c:v>344</c:v>
                </c:pt>
                <c:pt idx="3">
                  <c:v>329</c:v>
                </c:pt>
                <c:pt idx="4">
                  <c:v>330</c:v>
                </c:pt>
                <c:pt idx="5">
                  <c:v>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2461296"/>
        <c:axId val="292456984"/>
      </c:barChart>
      <c:lineChart>
        <c:grouping val="standard"/>
        <c:varyColors val="0"/>
        <c:ser>
          <c:idx val="1"/>
          <c:order val="1"/>
          <c:tx>
            <c:strRef>
              <c:f>Analysis!$D$23</c:f>
              <c:strCache>
                <c:ptCount val="1"/>
                <c:pt idx="0">
                  <c:v>Sales Per Hour</c:v>
                </c:pt>
              </c:strCache>
            </c:strRef>
          </c:tx>
          <c:spPr>
            <a:ln w="34925" cap="rnd">
              <a:solidFill>
                <a:schemeClr val="accent6">
                  <a:tint val="77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Analysis!$B$24:$B$29</c:f>
              <c:strCache>
                <c:ptCount val="6"/>
                <c:pt idx="0">
                  <c:v>Alabama</c:v>
                </c:pt>
                <c:pt idx="1">
                  <c:v>California</c:v>
                </c:pt>
                <c:pt idx="2">
                  <c:v>Connecticut</c:v>
                </c:pt>
                <c:pt idx="3">
                  <c:v>Colorado</c:v>
                </c:pt>
                <c:pt idx="4">
                  <c:v>Florida</c:v>
                </c:pt>
                <c:pt idx="5">
                  <c:v>Hawaii</c:v>
                </c:pt>
              </c:strCache>
            </c:strRef>
          </c:cat>
          <c:val>
            <c:numRef>
              <c:f>Analysis!$D$24:$D$29</c:f>
              <c:numCache>
                <c:formatCode>0.00</c:formatCode>
                <c:ptCount val="6"/>
                <c:pt idx="0">
                  <c:v>45.541333791550791</c:v>
                </c:pt>
                <c:pt idx="1">
                  <c:v>44.482383232158497</c:v>
                </c:pt>
                <c:pt idx="2">
                  <c:v>45.003445052381629</c:v>
                </c:pt>
                <c:pt idx="3">
                  <c:v>42.847861798073829</c:v>
                </c:pt>
                <c:pt idx="4">
                  <c:v>43.50316910023318</c:v>
                </c:pt>
                <c:pt idx="5">
                  <c:v>42.503200101238974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57768"/>
        <c:axId val="292459336"/>
      </c:lineChart>
      <c:catAx>
        <c:axId val="29246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456984"/>
        <c:crosses val="autoZero"/>
        <c:auto val="1"/>
        <c:lblAlgn val="ctr"/>
        <c:lblOffset val="100"/>
        <c:noMultiLvlLbl val="0"/>
      </c:catAx>
      <c:valAx>
        <c:axId val="29245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461296"/>
        <c:crosses val="autoZero"/>
        <c:crossBetween val="between"/>
      </c:valAx>
      <c:valAx>
        <c:axId val="29245933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457768"/>
        <c:crosses val="max"/>
        <c:crossBetween val="between"/>
      </c:valAx>
      <c:catAx>
        <c:axId val="292457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2459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cap="none" spc="0" baseline="0">
                <a:ln w="0"/>
                <a:solidFill>
                  <a:schemeClr val="tx2">
                    <a:lumMod val="20000"/>
                    <a:lumOff val="8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200" b="1" cap="none" spc="0">
                <a:ln w="0"/>
                <a:solidFill>
                  <a:schemeClr val="tx2">
                    <a:lumMod val="20000"/>
                    <a:lumOff val="8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Wine Sales</a:t>
            </a:r>
          </a:p>
        </c:rich>
      </c:tx>
      <c:layout>
        <c:manualLayout>
          <c:xMode val="edge"/>
          <c:yMode val="edge"/>
          <c:x val="0.26176333333333335"/>
          <c:y val="5.28811111111111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Analysis!$C$5</c:f>
              <c:strCache>
                <c:ptCount val="1"/>
                <c:pt idx="0">
                  <c:v>Sales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explosion val="1"/>
          <c:dPt>
            <c:idx val="0"/>
            <c:bubble3D val="0"/>
            <c:spPr>
              <a:solidFill>
                <a:srgbClr val="6A310A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numFmt formatCode="0.0%" sourceLinked="0"/>
              <c:spPr>
                <a:solidFill>
                  <a:srgbClr val="6A310A"/>
                </a:solidFill>
                <a:ln w="6350">
                  <a:noFill/>
                </a:ln>
                <a:effectLst/>
              </c:spPr>
              <c:txPr>
                <a:bodyPr rot="0" spcFirstLastPara="1" vertOverflow="ellipsis" vert="horz" wrap="square" lIns="36000" anchor="ctr" anchorCtr="1"/>
                <a:lstStyle/>
                <a:p>
                  <a:pPr>
                    <a:defRPr sz="850" b="1" i="0" u="none" strike="noStrike" kern="1200" baseline="0">
                      <a:ln w="6350">
                        <a:noFill/>
                        <a:round/>
                      </a:ln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"/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ellipsis" vert="horz" wrap="square" lIns="36000" anchor="ctr" anchorCtr="1"/>
                <a:lstStyle/>
                <a:p>
                  <a:pPr>
                    <a:defRPr sz="850" b="1" i="0" u="none" strike="noStrike" kern="1200" cap="none" spc="0" baseline="0">
                      <a:ln w="0"/>
                      <a:solidFill>
                        <a:srgbClr val="6A310A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numFmt formatCode="0.0%" sourceLinked="0"/>
            <c:spPr>
              <a:noFill/>
              <a:ln w="635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6000" anchor="ctr" anchorCtr="1"/>
              <a:lstStyle/>
              <a:p>
                <a:pPr>
                  <a:defRPr sz="900" b="0" i="0" u="none" strike="noStrike" kern="1200" baseline="0">
                    <a:ln w="6350">
                      <a:solidFill>
                        <a:srgbClr val="6A310A"/>
                      </a:solidFill>
                      <a:round/>
                    </a:ln>
                    <a:gradFill>
                      <a:gsLst>
                        <a:gs pos="0">
                          <a:schemeClr val="accent1">
                            <a:lumMod val="5000"/>
                            <a:lumOff val="95000"/>
                          </a:schemeClr>
                        </a:gs>
                        <a:gs pos="74000">
                          <a:schemeClr val="accent1">
                            <a:lumMod val="45000"/>
                            <a:lumOff val="55000"/>
                          </a:schemeClr>
                        </a:gs>
                        <a:gs pos="83000">
                          <a:schemeClr val="accent1">
                            <a:lumMod val="45000"/>
                            <a:lumOff val="55000"/>
                          </a:schemeClr>
                        </a:gs>
                        <a:gs pos="100000">
                          <a:schemeClr val="accent1">
                            <a:lumMod val="30000"/>
                            <a:lumOff val="70000"/>
                          </a:schemeClr>
                        </a:gs>
                      </a:gsLst>
                      <a:lin ang="5400000" scaled="1"/>
                    </a:gra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Analysis!$B$6:$B$7</c:f>
              <c:strCache>
                <c:ptCount val="2"/>
                <c:pt idx="0">
                  <c:v>Reisling</c:v>
                </c:pt>
                <c:pt idx="1">
                  <c:v>Shiraz</c:v>
                </c:pt>
              </c:strCache>
            </c:strRef>
          </c:cat>
          <c:val>
            <c:numRef>
              <c:f>Analysis!$C$6:$C$7</c:f>
              <c:numCache>
                <c:formatCode>0</c:formatCode>
                <c:ptCount val="2"/>
                <c:pt idx="0" formatCode="General">
                  <c:v>1010</c:v>
                </c:pt>
                <c:pt idx="1">
                  <c:v>1005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8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cap="none" spc="0" baseline="0">
                <a:ln w="0"/>
                <a:solidFill>
                  <a:schemeClr val="tx2">
                    <a:lumMod val="20000"/>
                    <a:lumOff val="8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cap="none" spc="0" baseline="0">
                <a:ln w="0"/>
                <a:solidFill>
                  <a:schemeClr val="tx2">
                    <a:lumMod val="20000"/>
                    <a:lumOff val="8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270500000000001"/>
          <c:y val="0.83860333333333337"/>
          <c:w val="0.6016785054813435"/>
          <c:h val="0.11696517307040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 w="635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round/>
              </a:ln>
              <a:solidFill>
                <a:srgbClr val="6A310A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n w="6350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 sz="1200"/>
              <a:t>Top Ten - Average Calls Required per Sale &amp;</a:t>
            </a:r>
            <a:r>
              <a:rPr lang="en-AU" sz="1200" baseline="0"/>
              <a:t> CSAT%</a:t>
            </a:r>
            <a:endParaRPr lang="en-AU" sz="1200"/>
          </a:p>
        </c:rich>
      </c:tx>
      <c:layout>
        <c:manualLayout>
          <c:xMode val="edge"/>
          <c:yMode val="edge"/>
          <c:x val="0.1045154363603308"/>
          <c:y val="3.1275195617729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Analysis!$C$36</c:f>
              <c:strCache>
                <c:ptCount val="1"/>
                <c:pt idx="0">
                  <c:v>Calls per Sale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Analysis!$B$37:$B$46</c:f>
              <c:strCache>
                <c:ptCount val="10"/>
                <c:pt idx="0">
                  <c:v>Xerxes</c:v>
                </c:pt>
                <c:pt idx="1">
                  <c:v>Inez</c:v>
                </c:pt>
                <c:pt idx="2">
                  <c:v>Serina</c:v>
                </c:pt>
                <c:pt idx="3">
                  <c:v>Farrah</c:v>
                </c:pt>
                <c:pt idx="4">
                  <c:v>Mercedes</c:v>
                </c:pt>
                <c:pt idx="5">
                  <c:v>Juliet</c:v>
                </c:pt>
                <c:pt idx="6">
                  <c:v>Fleur</c:v>
                </c:pt>
                <c:pt idx="7">
                  <c:v>Melodie</c:v>
                </c:pt>
                <c:pt idx="8">
                  <c:v>Nevada</c:v>
                </c:pt>
                <c:pt idx="9">
                  <c:v>Rowan</c:v>
                </c:pt>
              </c:strCache>
            </c:strRef>
          </c:cat>
          <c:val>
            <c:numRef>
              <c:f>Analysis!$C$37:$C$46</c:f>
              <c:numCache>
                <c:formatCode>0.0</c:formatCode>
                <c:ptCount val="10"/>
                <c:pt idx="0">
                  <c:v>12.625</c:v>
                </c:pt>
                <c:pt idx="1">
                  <c:v>13.2</c:v>
                </c:pt>
                <c:pt idx="2">
                  <c:v>13.32</c:v>
                </c:pt>
                <c:pt idx="3">
                  <c:v>13.375</c:v>
                </c:pt>
                <c:pt idx="4">
                  <c:v>13.52</c:v>
                </c:pt>
                <c:pt idx="5">
                  <c:v>13.625</c:v>
                </c:pt>
                <c:pt idx="6">
                  <c:v>13.708333333333334</c:v>
                </c:pt>
                <c:pt idx="7">
                  <c:v>13.869565217391305</c:v>
                </c:pt>
                <c:pt idx="8">
                  <c:v>13.913043478260869</c:v>
                </c:pt>
                <c:pt idx="9">
                  <c:v>13.92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845168"/>
        <c:axId val="239845952"/>
      </c:barChart>
      <c:lineChart>
        <c:grouping val="standard"/>
        <c:varyColors val="0"/>
        <c:ser>
          <c:idx val="1"/>
          <c:order val="1"/>
          <c:tx>
            <c:strRef>
              <c:f>Analysis!$D$36</c:f>
              <c:strCache>
                <c:ptCount val="1"/>
                <c:pt idx="0">
                  <c:v>CSAT%</c:v>
                </c:pt>
              </c:strCache>
            </c:strRef>
          </c:tx>
          <c:spPr>
            <a:ln w="34925" cap="rnd">
              <a:solidFill>
                <a:schemeClr val="accent4">
                  <a:shade val="76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Analysis!$B$37:$B$46</c:f>
              <c:strCache>
                <c:ptCount val="10"/>
                <c:pt idx="0">
                  <c:v>Xerxes</c:v>
                </c:pt>
                <c:pt idx="1">
                  <c:v>Inez</c:v>
                </c:pt>
                <c:pt idx="2">
                  <c:v>Serina</c:v>
                </c:pt>
                <c:pt idx="3">
                  <c:v>Farrah</c:v>
                </c:pt>
                <c:pt idx="4">
                  <c:v>Mercedes</c:v>
                </c:pt>
                <c:pt idx="5">
                  <c:v>Juliet</c:v>
                </c:pt>
                <c:pt idx="6">
                  <c:v>Fleur</c:v>
                </c:pt>
                <c:pt idx="7">
                  <c:v>Melodie</c:v>
                </c:pt>
                <c:pt idx="8">
                  <c:v>Nevada</c:v>
                </c:pt>
                <c:pt idx="9">
                  <c:v>Rowan</c:v>
                </c:pt>
              </c:strCache>
            </c:strRef>
          </c:cat>
          <c:val>
            <c:numRef>
              <c:f>Analysis!$D$37:$D$46</c:f>
              <c:numCache>
                <c:formatCode>0.0%</c:formatCode>
                <c:ptCount val="10"/>
                <c:pt idx="0">
                  <c:v>0.5982142857142857</c:v>
                </c:pt>
                <c:pt idx="1">
                  <c:v>0.58333333333333337</c:v>
                </c:pt>
                <c:pt idx="2">
                  <c:v>0.57272727272727275</c:v>
                </c:pt>
                <c:pt idx="3">
                  <c:v>0.52212389380530977</c:v>
                </c:pt>
                <c:pt idx="4">
                  <c:v>0.56310679611650483</c:v>
                </c:pt>
                <c:pt idx="5">
                  <c:v>0.5625</c:v>
                </c:pt>
                <c:pt idx="6">
                  <c:v>0.55855855855855852</c:v>
                </c:pt>
                <c:pt idx="7">
                  <c:v>0.55084745762711862</c:v>
                </c:pt>
                <c:pt idx="8">
                  <c:v>0.50961538461538458</c:v>
                </c:pt>
                <c:pt idx="9">
                  <c:v>0.59183673469387754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46344"/>
        <c:axId val="239836544"/>
      </c:lineChart>
      <c:catAx>
        <c:axId val="23984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45952"/>
        <c:crosses val="autoZero"/>
        <c:auto val="1"/>
        <c:lblAlgn val="ctr"/>
        <c:lblOffset val="100"/>
        <c:noMultiLvlLbl val="0"/>
      </c:catAx>
      <c:valAx>
        <c:axId val="23984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45168"/>
        <c:crosses val="autoZero"/>
        <c:crossBetween val="between"/>
      </c:valAx>
      <c:valAx>
        <c:axId val="2398365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46344"/>
        <c:crosses val="max"/>
        <c:crossBetween val="between"/>
      </c:valAx>
      <c:catAx>
        <c:axId val="23984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983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 sz="12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Top Ten - Sales per Hour &amp; CSAT%</a:t>
            </a:r>
            <a:endParaRPr lang="en-AU" sz="1200">
              <a:effectLst/>
            </a:endParaRPr>
          </a:p>
        </c:rich>
      </c:tx>
      <c:layout>
        <c:manualLayout>
          <c:xMode val="edge"/>
          <c:yMode val="edge"/>
          <c:x val="0.10236139919850172"/>
          <c:y val="2.5039123630672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Analysis!$H$36</c:f>
              <c:strCache>
                <c:ptCount val="1"/>
                <c:pt idx="0">
                  <c:v>Sales per Hour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Analysis!$G$37:$G$46</c:f>
              <c:strCache>
                <c:ptCount val="10"/>
                <c:pt idx="0">
                  <c:v>Mercedes</c:v>
                </c:pt>
                <c:pt idx="1">
                  <c:v>Zia</c:v>
                </c:pt>
                <c:pt idx="2">
                  <c:v>Kendall</c:v>
                </c:pt>
                <c:pt idx="3">
                  <c:v>Xerxes</c:v>
                </c:pt>
                <c:pt idx="4">
                  <c:v>Fleur</c:v>
                </c:pt>
                <c:pt idx="5">
                  <c:v>Iona</c:v>
                </c:pt>
                <c:pt idx="6">
                  <c:v>Renee</c:v>
                </c:pt>
                <c:pt idx="7">
                  <c:v>Madeline</c:v>
                </c:pt>
                <c:pt idx="8">
                  <c:v>Melodie</c:v>
                </c:pt>
                <c:pt idx="9">
                  <c:v>Keelie</c:v>
                </c:pt>
              </c:strCache>
            </c:strRef>
          </c:cat>
          <c:val>
            <c:numRef>
              <c:f>Analysis!$H$37:$H$46</c:f>
              <c:numCache>
                <c:formatCode>0.0</c:formatCode>
                <c:ptCount val="10"/>
                <c:pt idx="0">
                  <c:v>3.4246575342465753</c:v>
                </c:pt>
                <c:pt idx="1">
                  <c:v>3.3333333333333335</c:v>
                </c:pt>
                <c:pt idx="2">
                  <c:v>3.2876712328767126</c:v>
                </c:pt>
                <c:pt idx="3">
                  <c:v>3.2876712328767126</c:v>
                </c:pt>
                <c:pt idx="4">
                  <c:v>3.2876712328767126</c:v>
                </c:pt>
                <c:pt idx="5">
                  <c:v>3.2857142857142856</c:v>
                </c:pt>
                <c:pt idx="6">
                  <c:v>3.2857142857142856</c:v>
                </c:pt>
                <c:pt idx="7">
                  <c:v>3.2857142857142856</c:v>
                </c:pt>
                <c:pt idx="8">
                  <c:v>3.2857142857142856</c:v>
                </c:pt>
                <c:pt idx="9">
                  <c:v>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837720"/>
        <c:axId val="239839288"/>
      </c:barChart>
      <c:lineChart>
        <c:grouping val="standard"/>
        <c:varyColors val="0"/>
        <c:ser>
          <c:idx val="1"/>
          <c:order val="1"/>
          <c:tx>
            <c:strRef>
              <c:f>Analysis!$I$36</c:f>
              <c:strCache>
                <c:ptCount val="1"/>
                <c:pt idx="0">
                  <c:v>CSAT%</c:v>
                </c:pt>
              </c:strCache>
            </c:strRef>
          </c:tx>
          <c:spPr>
            <a:ln w="34925" cap="rnd">
              <a:solidFill>
                <a:schemeClr val="accent2">
                  <a:shade val="76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Analysis!$G$37:$G$46</c:f>
              <c:strCache>
                <c:ptCount val="10"/>
                <c:pt idx="0">
                  <c:v>Mercedes</c:v>
                </c:pt>
                <c:pt idx="1">
                  <c:v>Zia</c:v>
                </c:pt>
                <c:pt idx="2">
                  <c:v>Kendall</c:v>
                </c:pt>
                <c:pt idx="3">
                  <c:v>Xerxes</c:v>
                </c:pt>
                <c:pt idx="4">
                  <c:v>Fleur</c:v>
                </c:pt>
                <c:pt idx="5">
                  <c:v>Iona</c:v>
                </c:pt>
                <c:pt idx="6">
                  <c:v>Renee</c:v>
                </c:pt>
                <c:pt idx="7">
                  <c:v>Madeline</c:v>
                </c:pt>
                <c:pt idx="8">
                  <c:v>Melodie</c:v>
                </c:pt>
                <c:pt idx="9">
                  <c:v>Keelie</c:v>
                </c:pt>
              </c:strCache>
            </c:strRef>
          </c:cat>
          <c:val>
            <c:numRef>
              <c:f>Analysis!$I$37:$I$46</c:f>
              <c:numCache>
                <c:formatCode>0.0%</c:formatCode>
                <c:ptCount val="10"/>
                <c:pt idx="0">
                  <c:v>0.56310679611650483</c:v>
                </c:pt>
                <c:pt idx="1">
                  <c:v>0.5145631067961165</c:v>
                </c:pt>
                <c:pt idx="2">
                  <c:v>0.53846153846153844</c:v>
                </c:pt>
                <c:pt idx="3">
                  <c:v>0.5982142857142857</c:v>
                </c:pt>
                <c:pt idx="4">
                  <c:v>0.55855855855855852</c:v>
                </c:pt>
                <c:pt idx="5">
                  <c:v>0.580952380952381</c:v>
                </c:pt>
                <c:pt idx="6">
                  <c:v>0.54455445544554459</c:v>
                </c:pt>
                <c:pt idx="7">
                  <c:v>0.56910569105691056</c:v>
                </c:pt>
                <c:pt idx="8">
                  <c:v>0.55084745762711862</c:v>
                </c:pt>
                <c:pt idx="9">
                  <c:v>0.55752212389380529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48696"/>
        <c:axId val="239840072"/>
      </c:lineChart>
      <c:catAx>
        <c:axId val="23983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39288"/>
        <c:crosses val="autoZero"/>
        <c:auto val="1"/>
        <c:lblAlgn val="ctr"/>
        <c:lblOffset val="100"/>
        <c:noMultiLvlLbl val="0"/>
      </c:catAx>
      <c:valAx>
        <c:axId val="23983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37720"/>
        <c:crosses val="autoZero"/>
        <c:crossBetween val="between"/>
      </c:valAx>
      <c:valAx>
        <c:axId val="2398400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48696"/>
        <c:crosses val="max"/>
        <c:crossBetween val="between"/>
      </c:valAx>
      <c:catAx>
        <c:axId val="23984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9840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Team Sales</a:t>
            </a:r>
          </a:p>
        </c:rich>
      </c:tx>
      <c:layout>
        <c:manualLayout>
          <c:xMode val="edge"/>
          <c:yMode val="edge"/>
          <c:x val="0.37562316362139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Analysis!$B$11:$B$20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Analysis!$C$11:$C$20</c:f>
              <c:numCache>
                <c:formatCode>General</c:formatCode>
                <c:ptCount val="10"/>
                <c:pt idx="0">
                  <c:v>203</c:v>
                </c:pt>
                <c:pt idx="1">
                  <c:v>212</c:v>
                </c:pt>
                <c:pt idx="2">
                  <c:v>190</c:v>
                </c:pt>
                <c:pt idx="3">
                  <c:v>187</c:v>
                </c:pt>
                <c:pt idx="4">
                  <c:v>215</c:v>
                </c:pt>
                <c:pt idx="5">
                  <c:v>197</c:v>
                </c:pt>
                <c:pt idx="6">
                  <c:v>201</c:v>
                </c:pt>
                <c:pt idx="7">
                  <c:v>195</c:v>
                </c:pt>
                <c:pt idx="8">
                  <c:v>209</c:v>
                </c:pt>
                <c:pt idx="9">
                  <c:v>206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9849480"/>
        <c:axId val="238116776"/>
        <c:axId val="0"/>
      </c:bar3DChart>
      <c:catAx>
        <c:axId val="23984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116776"/>
        <c:crosses val="autoZero"/>
        <c:auto val="1"/>
        <c:lblAlgn val="ctr"/>
        <c:lblOffset val="100"/>
        <c:noMultiLvlLbl val="0"/>
      </c:catAx>
      <c:valAx>
        <c:axId val="23811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49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Regional Sales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Analysis!$B$24:$B$29</c:f>
              <c:strCache>
                <c:ptCount val="6"/>
                <c:pt idx="0">
                  <c:v>Alabama</c:v>
                </c:pt>
                <c:pt idx="1">
                  <c:v>California</c:v>
                </c:pt>
                <c:pt idx="2">
                  <c:v>Connecticut</c:v>
                </c:pt>
                <c:pt idx="3">
                  <c:v>Colorado</c:v>
                </c:pt>
                <c:pt idx="4">
                  <c:v>Florida</c:v>
                </c:pt>
                <c:pt idx="5">
                  <c:v>Hawaii</c:v>
                </c:pt>
              </c:strCache>
            </c:strRef>
          </c:cat>
          <c:val>
            <c:numRef>
              <c:f>Analysis!$C$24:$C$29</c:f>
              <c:numCache>
                <c:formatCode>General</c:formatCode>
                <c:ptCount val="6"/>
                <c:pt idx="0">
                  <c:v>351</c:v>
                </c:pt>
                <c:pt idx="1">
                  <c:v>341</c:v>
                </c:pt>
                <c:pt idx="2">
                  <c:v>344</c:v>
                </c:pt>
                <c:pt idx="3">
                  <c:v>329</c:v>
                </c:pt>
                <c:pt idx="4">
                  <c:v>330</c:v>
                </c:pt>
                <c:pt idx="5">
                  <c:v>320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8117560"/>
        <c:axId val="238121872"/>
        <c:axId val="0"/>
      </c:bar3DChart>
      <c:catAx>
        <c:axId val="23811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121872"/>
        <c:crosses val="autoZero"/>
        <c:auto val="1"/>
        <c:lblAlgn val="ctr"/>
        <c:lblOffset val="100"/>
        <c:noMultiLvlLbl val="0"/>
      </c:catAx>
      <c:valAx>
        <c:axId val="23812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11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102396</xdr:colOff>
      <xdr:row>3</xdr:row>
      <xdr:rowOff>69056</xdr:rowOff>
    </xdr:from>
    <xdr:to>
      <xdr:col>3</xdr:col>
      <xdr:colOff>344833</xdr:colOff>
      <xdr:row>14</xdr:row>
      <xdr:rowOff>133556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1119186</xdr:colOff>
      <xdr:row>3</xdr:row>
      <xdr:rowOff>71437</xdr:rowOff>
    </xdr:from>
    <xdr:to>
      <xdr:col>7</xdr:col>
      <xdr:colOff>1028249</xdr:colOff>
      <xdr:row>14</xdr:row>
      <xdr:rowOff>135937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76201</xdr:colOff>
      <xdr:row>0</xdr:row>
      <xdr:rowOff>57150</xdr:rowOff>
    </xdr:from>
    <xdr:to>
      <xdr:col>0</xdr:col>
      <xdr:colOff>876301</xdr:colOff>
      <xdr:row>2</xdr:row>
      <xdr:rowOff>166904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57150"/>
          <a:ext cx="800100" cy="643154"/>
        </a:xfrm>
        <a:prstGeom prst="rect">
          <a:avLst/>
        </a:prstGeom>
      </xdr:spPr>
    </xdr:pic>
    <xdr:clientData/>
  </xdr:twoCellAnchor>
  <xdr:twoCellAnchor>
    <xdr:from>
      <xdr:col>3</xdr:col>
      <xdr:colOff>469196</xdr:colOff>
      <xdr:row>12</xdr:row>
      <xdr:rowOff>117612</xdr:rowOff>
    </xdr:from>
    <xdr:to>
      <xdr:col>4</xdr:col>
      <xdr:colOff>1021421</xdr:colOff>
      <xdr:row>22</xdr:row>
      <xdr:rowOff>12612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107157</xdr:colOff>
      <xdr:row>20</xdr:row>
      <xdr:rowOff>54831</xdr:rowOff>
    </xdr:from>
    <xdr:to>
      <xdr:col>3</xdr:col>
      <xdr:colOff>349594</xdr:colOff>
      <xdr:row>31</xdr:row>
      <xdr:rowOff>119331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1113961</xdr:colOff>
      <xdr:row>20</xdr:row>
      <xdr:rowOff>50702</xdr:rowOff>
    </xdr:from>
    <xdr:to>
      <xdr:col>7</xdr:col>
      <xdr:colOff>1023024</xdr:colOff>
      <xdr:row>31</xdr:row>
      <xdr:rowOff>115202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9</xdr:row>
      <xdr:rowOff>2175</xdr:rowOff>
    </xdr:from>
    <xdr:to>
      <xdr:col>13</xdr:col>
      <xdr:colOff>167100</xdr:colOff>
      <xdr:row>20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200025</xdr:colOff>
      <xdr:row>21</xdr:row>
      <xdr:rowOff>192675</xdr:rowOff>
    </xdr:from>
    <xdr:to>
      <xdr:col>13</xdr:col>
      <xdr:colOff>176625</xdr:colOff>
      <xdr:row>33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47627</xdr:colOff>
      <xdr:row>0</xdr:row>
      <xdr:rowOff>47625</xdr:rowOff>
    </xdr:from>
    <xdr:to>
      <xdr:col>1</xdr:col>
      <xdr:colOff>962025</xdr:colOff>
      <xdr:row>3</xdr:row>
      <xdr:rowOff>49231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2" y="47625"/>
          <a:ext cx="914398" cy="735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I11" sqref="I11"/>
    </sheetView>
  </sheetViews>
  <sheetFormatPr defaultRowHeight="15" x14ac:dyDescent="0.25"/>
  <cols>
    <col min="1" max="3" width="16.7109375" customWidth="1"/>
    <col min="4" max="4" width="18.7109375" customWidth="1"/>
    <col min="5" max="5" width="21.85546875" bestFit="1" customWidth="1"/>
    <col min="6" max="10" width="16.7109375" customWidth="1"/>
  </cols>
  <sheetData>
    <row r="1" spans="1:8" ht="23.25" x14ac:dyDescent="0.35">
      <c r="A1" s="112" t="s">
        <v>133</v>
      </c>
      <c r="B1" s="154" t="s">
        <v>138</v>
      </c>
      <c r="C1" s="154"/>
      <c r="D1" s="154"/>
      <c r="E1" s="154"/>
      <c r="F1" s="154"/>
      <c r="G1" s="154"/>
      <c r="H1" s="113"/>
    </row>
    <row r="2" spans="1:8" ht="18.75" x14ac:dyDescent="0.3">
      <c r="A2" s="114" t="s">
        <v>130</v>
      </c>
      <c r="B2" s="54"/>
      <c r="C2" s="54"/>
      <c r="D2" s="111" t="s">
        <v>136</v>
      </c>
      <c r="E2" s="56">
        <f>MIN('Team Data'!D2:D103)</f>
        <v>41791</v>
      </c>
      <c r="F2" s="53"/>
      <c r="G2" s="53"/>
      <c r="H2" s="115"/>
    </row>
    <row r="3" spans="1:8" ht="15.75" x14ac:dyDescent="0.25">
      <c r="A3" s="116" t="s">
        <v>131</v>
      </c>
      <c r="B3" s="117"/>
      <c r="C3" s="117"/>
      <c r="D3" s="118" t="s">
        <v>143</v>
      </c>
      <c r="E3" s="119" t="s">
        <v>133</v>
      </c>
      <c r="F3" s="120"/>
      <c r="G3" s="117"/>
      <c r="H3" s="121"/>
    </row>
    <row r="4" spans="1:8" x14ac:dyDescent="0.25">
      <c r="A4" s="101"/>
      <c r="B4" s="102"/>
      <c r="C4" s="102"/>
      <c r="D4" s="102"/>
      <c r="E4" s="102"/>
      <c r="F4" s="102"/>
      <c r="G4" s="102"/>
      <c r="H4" s="103"/>
    </row>
    <row r="5" spans="1:8" x14ac:dyDescent="0.25">
      <c r="A5" s="104"/>
      <c r="B5" s="57"/>
      <c r="C5" s="57"/>
      <c r="D5" s="57"/>
      <c r="E5" s="57"/>
      <c r="F5" s="57"/>
      <c r="G5" s="57"/>
      <c r="H5" s="105"/>
    </row>
    <row r="6" spans="1:8" x14ac:dyDescent="0.25">
      <c r="A6" s="104"/>
      <c r="B6" s="57"/>
      <c r="C6" s="57"/>
      <c r="D6" s="57"/>
      <c r="E6" s="57"/>
      <c r="F6" s="57"/>
      <c r="G6" s="57"/>
      <c r="H6" s="105"/>
    </row>
    <row r="7" spans="1:8" x14ac:dyDescent="0.25">
      <c r="A7" s="104"/>
      <c r="B7" s="57"/>
      <c r="C7" s="57"/>
      <c r="D7" s="57"/>
      <c r="E7" s="57"/>
      <c r="F7" s="57"/>
      <c r="G7" s="57"/>
      <c r="H7" s="105"/>
    </row>
    <row r="8" spans="1:8" x14ac:dyDescent="0.25">
      <c r="A8" s="104"/>
      <c r="B8" s="57"/>
      <c r="C8" s="57"/>
      <c r="D8" s="57"/>
      <c r="E8" s="57"/>
      <c r="F8" s="57"/>
      <c r="G8" s="57"/>
      <c r="H8" s="105"/>
    </row>
    <row r="9" spans="1:8" x14ac:dyDescent="0.25">
      <c r="A9" s="104"/>
      <c r="B9" s="57"/>
      <c r="C9" s="57"/>
      <c r="D9" s="57"/>
      <c r="E9" s="57"/>
      <c r="F9" s="57"/>
      <c r="G9" s="57"/>
      <c r="H9" s="105"/>
    </row>
    <row r="10" spans="1:8" x14ac:dyDescent="0.25">
      <c r="A10" s="104"/>
      <c r="B10" s="57"/>
      <c r="C10" s="57"/>
      <c r="D10" s="57"/>
      <c r="E10" s="57"/>
      <c r="F10" s="57"/>
      <c r="G10" s="57"/>
      <c r="H10" s="105"/>
    </row>
    <row r="11" spans="1:8" x14ac:dyDescent="0.25">
      <c r="A11" s="104"/>
      <c r="B11" s="57"/>
      <c r="C11" s="57"/>
      <c r="D11" s="57"/>
      <c r="E11" s="57"/>
      <c r="F11" s="57"/>
      <c r="G11" s="57"/>
      <c r="H11" s="105"/>
    </row>
    <row r="12" spans="1:8" x14ac:dyDescent="0.25">
      <c r="A12" s="104"/>
      <c r="B12" s="57"/>
      <c r="C12" s="57"/>
      <c r="D12" s="57"/>
      <c r="E12" s="57"/>
      <c r="F12" s="57"/>
      <c r="G12" s="57"/>
      <c r="H12" s="105"/>
    </row>
    <row r="13" spans="1:8" x14ac:dyDescent="0.25">
      <c r="A13" s="104"/>
      <c r="B13" s="57"/>
      <c r="C13" s="57"/>
      <c r="D13" s="57"/>
      <c r="E13" s="57"/>
      <c r="F13" s="57"/>
      <c r="G13" s="57"/>
      <c r="H13" s="105"/>
    </row>
    <row r="14" spans="1:8" x14ac:dyDescent="0.25">
      <c r="A14" s="104"/>
      <c r="B14" s="57"/>
      <c r="C14" s="57"/>
      <c r="D14" s="57"/>
      <c r="E14" s="57"/>
      <c r="F14" s="57"/>
      <c r="G14" s="57"/>
      <c r="H14" s="105"/>
    </row>
    <row r="15" spans="1:8" x14ac:dyDescent="0.25">
      <c r="A15" s="104"/>
      <c r="B15" s="57"/>
      <c r="C15" s="57"/>
      <c r="D15" s="57"/>
      <c r="E15" s="57"/>
      <c r="F15" s="57"/>
      <c r="G15" s="57"/>
      <c r="H15" s="105"/>
    </row>
    <row r="16" spans="1:8" x14ac:dyDescent="0.25">
      <c r="A16" s="153" t="s">
        <v>157</v>
      </c>
      <c r="B16" s="150"/>
      <c r="C16" s="150"/>
      <c r="D16" s="57"/>
      <c r="E16" s="57"/>
      <c r="F16" s="150" t="s">
        <v>144</v>
      </c>
      <c r="G16" s="150"/>
      <c r="H16" s="151"/>
    </row>
    <row r="17" spans="1:8" x14ac:dyDescent="0.25">
      <c r="A17" s="104"/>
      <c r="B17" s="57"/>
      <c r="C17" s="57"/>
      <c r="D17" s="57"/>
      <c r="E17" s="57"/>
      <c r="F17" s="57"/>
      <c r="G17" s="57"/>
      <c r="H17" s="105"/>
    </row>
    <row r="18" spans="1:8" x14ac:dyDescent="0.25">
      <c r="A18" s="104"/>
      <c r="B18" s="57"/>
      <c r="C18" s="57"/>
      <c r="D18" s="57"/>
      <c r="E18" s="57"/>
      <c r="F18" s="57"/>
      <c r="G18" s="57"/>
      <c r="H18" s="105"/>
    </row>
    <row r="19" spans="1:8" x14ac:dyDescent="0.25">
      <c r="A19" s="104"/>
      <c r="B19" s="57"/>
      <c r="C19" s="57"/>
      <c r="D19" s="57"/>
      <c r="E19" s="57"/>
      <c r="F19" s="57"/>
      <c r="G19" s="57"/>
      <c r="H19" s="105"/>
    </row>
    <row r="20" spans="1:8" x14ac:dyDescent="0.25">
      <c r="A20" s="153" t="s">
        <v>158</v>
      </c>
      <c r="B20" s="150"/>
      <c r="C20" s="150"/>
      <c r="D20" s="57"/>
      <c r="E20" s="57"/>
      <c r="F20" s="150" t="s">
        <v>145</v>
      </c>
      <c r="G20" s="150"/>
      <c r="H20" s="151"/>
    </row>
    <row r="21" spans="1:8" x14ac:dyDescent="0.25">
      <c r="A21" s="106"/>
      <c r="B21" s="83"/>
      <c r="C21" s="83"/>
      <c r="D21" s="57"/>
      <c r="E21" s="57"/>
      <c r="F21" s="150"/>
      <c r="G21" s="150"/>
      <c r="H21" s="151"/>
    </row>
    <row r="22" spans="1:8" x14ac:dyDescent="0.25">
      <c r="A22" s="104"/>
      <c r="B22" s="57"/>
      <c r="C22" s="57"/>
      <c r="D22" s="84"/>
      <c r="E22" s="84"/>
      <c r="F22" s="57"/>
      <c r="G22" s="57"/>
      <c r="H22" s="105"/>
    </row>
    <row r="23" spans="1:8" x14ac:dyDescent="0.25">
      <c r="A23" s="104"/>
      <c r="B23" s="57"/>
      <c r="C23" s="57"/>
      <c r="D23" s="152" t="s">
        <v>146</v>
      </c>
      <c r="E23" s="152"/>
      <c r="F23" s="57"/>
      <c r="G23" s="57"/>
      <c r="H23" s="105"/>
    </row>
    <row r="24" spans="1:8" x14ac:dyDescent="0.25">
      <c r="A24" s="104"/>
      <c r="B24" s="57"/>
      <c r="C24" s="57"/>
      <c r="D24" s="57"/>
      <c r="E24" s="57"/>
      <c r="F24" s="57"/>
      <c r="G24" s="57"/>
      <c r="H24" s="105"/>
    </row>
    <row r="25" spans="1:8" x14ac:dyDescent="0.25">
      <c r="A25" s="104"/>
      <c r="B25" s="57"/>
      <c r="C25" s="57"/>
      <c r="D25" s="57"/>
      <c r="E25" s="57"/>
      <c r="F25" s="57"/>
      <c r="G25" s="57"/>
      <c r="H25" s="105"/>
    </row>
    <row r="26" spans="1:8" x14ac:dyDescent="0.25">
      <c r="A26" s="104"/>
      <c r="B26" s="57"/>
      <c r="C26" s="57"/>
      <c r="D26" s="57"/>
      <c r="E26" s="57"/>
      <c r="F26" s="57"/>
      <c r="G26" s="57"/>
      <c r="H26" s="105"/>
    </row>
    <row r="27" spans="1:8" x14ac:dyDescent="0.25">
      <c r="A27" s="104"/>
      <c r="B27" s="57"/>
      <c r="C27" s="57"/>
      <c r="D27" s="57"/>
      <c r="E27" s="57"/>
      <c r="F27" s="57"/>
      <c r="G27" s="57"/>
      <c r="H27" s="105"/>
    </row>
    <row r="28" spans="1:8" x14ac:dyDescent="0.25">
      <c r="A28" s="104"/>
      <c r="B28" s="57"/>
      <c r="C28" s="57"/>
      <c r="D28" s="57"/>
      <c r="E28" s="57"/>
      <c r="F28" s="57"/>
      <c r="G28" s="57"/>
      <c r="H28" s="105"/>
    </row>
    <row r="29" spans="1:8" x14ac:dyDescent="0.25">
      <c r="A29" s="104"/>
      <c r="B29" s="57"/>
      <c r="C29" s="57"/>
      <c r="D29" s="57"/>
      <c r="E29" s="57"/>
      <c r="F29" s="57"/>
      <c r="G29" s="57"/>
      <c r="H29" s="105"/>
    </row>
    <row r="30" spans="1:8" x14ac:dyDescent="0.25">
      <c r="A30" s="104"/>
      <c r="B30" s="57"/>
      <c r="C30" s="57"/>
      <c r="D30" s="57"/>
      <c r="E30" s="57"/>
      <c r="F30" s="57"/>
      <c r="G30" s="57"/>
      <c r="H30" s="105"/>
    </row>
    <row r="31" spans="1:8" x14ac:dyDescent="0.25">
      <c r="A31" s="104"/>
      <c r="B31" s="57"/>
      <c r="C31" s="57"/>
      <c r="D31" s="57"/>
      <c r="E31" s="57"/>
      <c r="F31" s="57"/>
      <c r="G31" s="57"/>
      <c r="H31" s="105"/>
    </row>
    <row r="32" spans="1:8" x14ac:dyDescent="0.25">
      <c r="A32" s="107"/>
      <c r="B32" s="108"/>
      <c r="C32" s="108"/>
      <c r="D32" s="109"/>
      <c r="E32" s="108"/>
      <c r="F32" s="108"/>
      <c r="G32" s="108"/>
      <c r="H32" s="110"/>
    </row>
  </sheetData>
  <mergeCells count="7">
    <mergeCell ref="F20:H20"/>
    <mergeCell ref="D23:E23"/>
    <mergeCell ref="A20:C20"/>
    <mergeCell ref="B1:G1"/>
    <mergeCell ref="A16:C16"/>
    <mergeCell ref="F21:H21"/>
    <mergeCell ref="F16:H16"/>
  </mergeCells>
  <dataValidations count="1">
    <dataValidation type="list" allowBlank="1" showInputMessage="1" showErrorMessage="1" sqref="E3">
      <formula1>$A$1:$A$3</formula1>
    </dataValidation>
  </dataValidations>
  <hyperlinks>
    <hyperlink ref="A16" location="Analysis!A15" display="For more information"/>
    <hyperlink ref="F16" location="Analysis!A26" display="For more information"/>
    <hyperlink ref="F20" location="Analysis!F43" display="For more information"/>
    <hyperlink ref="D23" location="Analysis!A6" display="For more information"/>
    <hyperlink ref="A20" location="Analysis!A43" display="For more information"/>
    <hyperlink ref="A16:C16" location="Analysis!A9" display="For more detail on Team Sales "/>
    <hyperlink ref="D23:E23" location="Analysis!A1" display="For more information on Sales"/>
    <hyperlink ref="A20:C20" location="Analysis!A46" display="For more information on Calls per Sale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67"/>
  <sheetViews>
    <sheetView topLeftCell="A34" zoomScaleNormal="100" zoomScaleSheetLayoutView="100" workbookViewId="0">
      <selection activeCell="P31" sqref="P31"/>
    </sheetView>
  </sheetViews>
  <sheetFormatPr defaultRowHeight="15" x14ac:dyDescent="0.25"/>
  <cols>
    <col min="1" max="1" width="3.28515625" customWidth="1"/>
    <col min="2" max="2" width="15.7109375" customWidth="1"/>
    <col min="3" max="3" width="13" bestFit="1" customWidth="1"/>
    <col min="4" max="4" width="16.5703125" bestFit="1" customWidth="1"/>
    <col min="5" max="5" width="21.85546875" bestFit="1" customWidth="1"/>
    <col min="6" max="6" width="20.140625" customWidth="1"/>
    <col min="7" max="7" width="15.5703125" bestFit="1" customWidth="1"/>
    <col min="8" max="8" width="11.42578125" customWidth="1"/>
    <col min="10" max="10" width="14.140625" customWidth="1"/>
    <col min="12" max="12" width="12.140625" customWidth="1"/>
  </cols>
  <sheetData>
    <row r="1" spans="2:9" ht="23.25" x14ac:dyDescent="0.35">
      <c r="B1" s="140"/>
      <c r="C1" s="162" t="s">
        <v>132</v>
      </c>
      <c r="D1" s="162"/>
      <c r="E1" s="162"/>
      <c r="F1" s="162"/>
      <c r="G1" s="163"/>
    </row>
    <row r="2" spans="2:9" ht="18.75" x14ac:dyDescent="0.3">
      <c r="B2" s="141"/>
      <c r="C2" s="50"/>
      <c r="D2" s="51" t="s">
        <v>136</v>
      </c>
      <c r="E2" s="49">
        <f>MIN('Team Data'!D2:D103)</f>
        <v>41791</v>
      </c>
      <c r="F2" s="50"/>
      <c r="G2" s="142"/>
    </row>
    <row r="3" spans="2:9" ht="15.75" x14ac:dyDescent="0.25">
      <c r="B3" s="141"/>
      <c r="C3" s="155" t="s">
        <v>134</v>
      </c>
      <c r="D3" s="155"/>
      <c r="E3" s="48" t="str">
        <f>Dashboard!E$3</f>
        <v>Reisling and Shiraz</v>
      </c>
      <c r="F3" s="52" t="str">
        <f>IF(Dashboard!E3="Reisling and Shiraz","Combined","Only")</f>
        <v>Combined</v>
      </c>
      <c r="G3" s="147"/>
      <c r="H3" s="13"/>
      <c r="I3" s="55"/>
    </row>
    <row r="4" spans="2:9" ht="6" customHeight="1" x14ac:dyDescent="0.25">
      <c r="B4" s="143"/>
      <c r="C4" s="148"/>
      <c r="D4" s="148"/>
      <c r="E4" s="148"/>
      <c r="F4" s="148"/>
      <c r="G4" s="149"/>
    </row>
    <row r="5" spans="2:9" ht="15.75" thickBot="1" x14ac:dyDescent="0.3">
      <c r="B5" s="144" t="s">
        <v>2</v>
      </c>
      <c r="C5" s="145" t="s">
        <v>8</v>
      </c>
      <c r="D5" s="145" t="s">
        <v>9</v>
      </c>
      <c r="E5" s="145" t="s">
        <v>10</v>
      </c>
      <c r="F5" s="145" t="s">
        <v>11</v>
      </c>
      <c r="G5" s="146" t="s">
        <v>135</v>
      </c>
    </row>
    <row r="6" spans="2:9" x14ac:dyDescent="0.25">
      <c r="B6" s="85" t="str">
        <f>IF(Dashboard!E3="Shiraz","","Reisling")</f>
        <v>Reisling</v>
      </c>
      <c r="C6" s="86">
        <f>IF(B6="","Sales",SUMIF('Team Data'!$C$2:$C$103,"="&amp;B6,'Team Data'!$I$2:$I$103))</f>
        <v>1010</v>
      </c>
      <c r="D6" s="87">
        <f>IF(B6="","For",SUMIF('Team Data'!$C$2:$C$103,"="&amp;B6,'Team Data'!$J$2:$J$103))</f>
        <v>131.8923646898578</v>
      </c>
      <c r="E6" s="86">
        <f>IF(B6="",TEXT(E2,"dd-mmm-yy"),SUMIF('Team Data'!$C$2:$C$103,"="&amp;B6,'Team Data'!$K$2:$K$103))</f>
        <v>34340</v>
      </c>
      <c r="F6" s="87">
        <f>IF(B6="","",SUMIF('Team Data'!$C$2:$C$103,"="&amp;B6,'Team Data'!$L$2:$L$103))</f>
        <v>4484.3403994551654</v>
      </c>
      <c r="G6" s="88">
        <f>IF(B6="","",SUMIF('Team Data'!$C$2:$C$103,"="&amp;B6,'Team Data'!$S$2:$S$103)/COUNTIF('Team Data'!C$2:C$103,"="&amp;"Reisling"))</f>
        <v>0.56373408301376493</v>
      </c>
      <c r="H6" s="22"/>
    </row>
    <row r="7" spans="2:9" ht="15.75" thickBot="1" x14ac:dyDescent="0.3">
      <c r="B7" s="89" t="str">
        <f>IF(Dashboard!E3="Reisling","","Shiraz")</f>
        <v>Shiraz</v>
      </c>
      <c r="C7" s="90">
        <f>IF(B7="","Sales",SUMIF('Team Data'!$C$2:$C$103,"="&amp;B7,'Team Data'!$I$2:$I$103))</f>
        <v>1005</v>
      </c>
      <c r="D7" s="91">
        <f>IF(B7="","for",SUMIF('Team Data'!$C$2:$C$103,"="&amp;B7,'Team Data'!$J$2:$J$103))</f>
        <v>131.98902838577908</v>
      </c>
      <c r="E7" s="92">
        <f>IF(B7="",TEXT(E2,"dd-mmm-yy"),SUMIF('Team Data'!$C$2:$C$103,"="&amp;B7,'Team Data'!$K$2:$K$103))</f>
        <v>34170</v>
      </c>
      <c r="F7" s="91">
        <f>IF(B7="","",SUMIF('Team Data'!$C$2:$C$103,"="&amp;B7,'Team Data'!$L$2:$L$103))</f>
        <v>4487.6269651164885</v>
      </c>
      <c r="G7" s="138">
        <f>IF(B7="","",SUMIF('Team Data'!$C$2:$C$103,"="&amp;B7,'Team Data'!$S$2:$S$103)/COUNTIF('Team Data'!C$2:C$103,"="&amp;"Shiraz"))</f>
        <v>0.55568468752763289</v>
      </c>
      <c r="H7" s="22"/>
    </row>
    <row r="8" spans="2:9" ht="15.75" thickBot="1" x14ac:dyDescent="0.3">
      <c r="B8" s="93" t="s">
        <v>17</v>
      </c>
      <c r="C8" s="94">
        <f>SUM(C6:C7)</f>
        <v>2015</v>
      </c>
      <c r="D8" s="95">
        <f>SUM(D6:D7)</f>
        <v>263.88139307563688</v>
      </c>
      <c r="E8" s="94">
        <f>SUM(E6:E7)</f>
        <v>68510</v>
      </c>
      <c r="F8" s="95">
        <f>SUM(F6:F7)</f>
        <v>8971.9673645716539</v>
      </c>
      <c r="G8" s="96">
        <f>AVERAGE(G6:G7)</f>
        <v>0.55970938527069891</v>
      </c>
    </row>
    <row r="9" spans="2:9" ht="15.75" thickBot="1" x14ac:dyDescent="0.3">
      <c r="B9" s="10"/>
      <c r="C9" s="10"/>
      <c r="D9" s="10"/>
      <c r="E9" s="10"/>
      <c r="F9" s="10"/>
    </row>
    <row r="10" spans="2:9" ht="15.75" thickBot="1" x14ac:dyDescent="0.3">
      <c r="B10" s="40" t="s">
        <v>127</v>
      </c>
      <c r="C10" s="41" t="s">
        <v>8</v>
      </c>
      <c r="D10" s="41" t="s">
        <v>9</v>
      </c>
      <c r="E10" s="41" t="s">
        <v>10</v>
      </c>
      <c r="F10" s="41" t="s">
        <v>11</v>
      </c>
      <c r="G10" s="42" t="s">
        <v>135</v>
      </c>
    </row>
    <row r="11" spans="2:9" x14ac:dyDescent="0.25">
      <c r="B11" s="19" t="s">
        <v>147</v>
      </c>
      <c r="C11" s="20">
        <f>IF(Dashboard!E$3="Reisling and Shiraz",SUMIFS('Team Data'!$I$2:$I$103,'Team Data'!$A$2:$A$103,"="&amp;B11),SUMIFS('Team Data'!$I$2:$I$103,'Team Data'!$A$2:$A$103,"="&amp;B11,'Team Data'!C$2:C$103,"="&amp;Dashboard!$E$3))</f>
        <v>203</v>
      </c>
      <c r="D11" s="21">
        <f>IF(Dashboard!E$3="Reisling and Shiraz",SUMIFS('Team Data'!$J$2:$J$103,'Team Data'!$A$2:$A$103,"="&amp;B11),SUMIFS('Team Data'!$J$2:$J$103,'Team Data'!$A$2:$A$103,"="&amp;B11,'Team Data'!C$2:C$103,"="&amp;Dashboard!$E$3))</f>
        <v>26.749607164648033</v>
      </c>
      <c r="E11" s="20">
        <f>IF(Dashboard!E$3="Reisling and Shiraz",SUMIFS('Team Data'!$K$2:$K$103,'Team Data'!$A$2:$A$103,"="&amp;B11),SUMIFS('Team Data'!$K$2:$K$103,'Team Data'!$A$2:$A$103,"="&amp;B11,'Team Data'!C$2:C$103,"="&amp;Dashboard!$E$3))</f>
        <v>6902</v>
      </c>
      <c r="F11" s="21">
        <f>IF(Dashboard!E$3="Reisling and Shiraz",SUMIFS('Team Data'!$L$2:$L$103,'Team Data'!$A$2:$A$103,"="&amp;B11),SUMIFS('Team Data'!$L$2:$L$103,'Team Data'!$A$2:$A$103,"="&amp;B11,'Team Data'!C$2:C$103,"="&amp;Dashboard!$E$3))</f>
        <v>909.48664359803331</v>
      </c>
      <c r="G11" s="25">
        <f>IF(Dashboard!E$3="Reisling and Shiraz",AVERAGEIFS('Team Data'!$S$2:$S$103,'Team Data'!$A$2:$A$103,"="&amp;B11),AVERAGEIFS('Team Data'!$S$2:$S$103,'Team Data'!$A$2:$A$103,"="&amp;B11,'Team Data'!C$2:C$103,"="&amp;Dashboard!$E$3))</f>
        <v>0.56574795336214223</v>
      </c>
      <c r="H11" s="23"/>
    </row>
    <row r="12" spans="2:9" x14ac:dyDescent="0.25">
      <c r="B12" s="16" t="s">
        <v>148</v>
      </c>
      <c r="C12" s="18">
        <f>IF(Dashboard!E$3="Reisling and Shiraz",SUMIFS('Team Data'!$I$2:$I$103,'Team Data'!$A$2:$A$103,"="&amp;B12),SUMIFS('Team Data'!$I$2:$I$103,'Team Data'!$A$2:$A$103,"="&amp;B12,'Team Data'!C$2:C$103,"="&amp;Dashboard!$E$3))</f>
        <v>212</v>
      </c>
      <c r="D12" s="17">
        <f>IF(Dashboard!E$3="Reisling and Shiraz",SUMIFS('Team Data'!$J$2:$J$103,'Team Data'!$A$2:$A$103,"="&amp;B12),SUMIFS('Team Data'!$J$2:$J$103,'Team Data'!$A$2:$A$103,"="&amp;B12,'Team Data'!C$2:C$103,"="&amp;Dashboard!$E$3))</f>
        <v>27.593409845773873</v>
      </c>
      <c r="E12" s="18">
        <f>IF(Dashboard!E$3="Reisling and Shiraz",SUMIFS('Team Data'!$K$2:$K$103,'Team Data'!$A$2:$A$103,"="&amp;B12),SUMIFS('Team Data'!$K$2:$K$103,'Team Data'!$A$2:$A$103,"="&amp;B12,'Team Data'!C$2:C$103,"="&amp;Dashboard!$E$3))</f>
        <v>7208</v>
      </c>
      <c r="F12" s="17">
        <f>IF(Dashboard!E$3="Reisling and Shiraz",SUMIFS('Team Data'!$L$2:$L$103,'Team Data'!$A$2:$A$103,"="&amp;B12),SUMIFS('Team Data'!$L$2:$L$103,'Team Data'!$A$2:$A$103,"="&amp;B12,'Team Data'!C$2:C$103,"="&amp;Dashboard!$E$3))</f>
        <v>938.17593475631179</v>
      </c>
      <c r="G12" s="24">
        <f>IF(Dashboard!E$3="Reisling and Shiraz",AVERAGEIFS('Team Data'!$S$2:$S$103,'Team Data'!$A$2:$A$103,"="&amp;B12),AVERAGEIFS('Team Data'!$S$2:$S$103,'Team Data'!$A$2:$A$103,"="&amp;B12,'Team Data'!C$2:C$103,"="&amp;Dashboard!$E$3))</f>
        <v>0.56441901125030225</v>
      </c>
    </row>
    <row r="13" spans="2:9" x14ac:dyDescent="0.25">
      <c r="B13" s="16" t="s">
        <v>149</v>
      </c>
      <c r="C13" s="18">
        <f>IF(Dashboard!E$3="Reisling and Shiraz",SUMIFS('Team Data'!$I$2:$I$103,'Team Data'!$A$2:$A$103,"="&amp;B13),SUMIFS('Team Data'!$I$2:$I$103,'Team Data'!$A$2:$A$103,"="&amp;B13,'Team Data'!C$2:C$103,"="&amp;Dashboard!$E$3))</f>
        <v>190</v>
      </c>
      <c r="D13" s="17">
        <f>IF(Dashboard!E$3="Reisling and Shiraz",SUMIFS('Team Data'!$J$2:$J$103,'Team Data'!$A$2:$A$103,"="&amp;B13),SUMIFS('Team Data'!$J$2:$J$103,'Team Data'!$A$2:$A$103,"="&amp;B13,'Team Data'!C$2:C$103,"="&amp;Dashboard!$E$3))</f>
        <v>25.152082418965321</v>
      </c>
      <c r="E13" s="18">
        <f>IF(Dashboard!E$3="Reisling and Shiraz",SUMIFS('Team Data'!$K$2:$K$103,'Team Data'!$A$2:$A$103,"="&amp;B13),SUMIFS('Team Data'!$K$2:$K$103,'Team Data'!$A$2:$A$103,"="&amp;B13,'Team Data'!C$2:C$103,"="&amp;Dashboard!$E$3))</f>
        <v>6460</v>
      </c>
      <c r="F13" s="17">
        <f>IF(Dashboard!E$3="Reisling and Shiraz",SUMIFS('Team Data'!$L$2:$L$103,'Team Data'!$A$2:$A$103,"="&amp;B13),SUMIFS('Team Data'!$L$2:$L$103,'Team Data'!$A$2:$A$103,"="&amp;B13,'Team Data'!C$2:C$103,"="&amp;Dashboard!$E$3))</f>
        <v>855.17080224482095</v>
      </c>
      <c r="G13" s="26">
        <f>IF(Dashboard!E$3="Reisling and Shiraz",AVERAGEIFS('Team Data'!$S$2:$S$103,'Team Data'!$A$2:$A$103,"="&amp;B13),AVERAGEIFS('Team Data'!$S$2:$S$103,'Team Data'!$A$2:$A$103,"="&amp;B13,'Team Data'!C$2:C$103,"="&amp;Dashboard!$E$3))</f>
        <v>0.55620873778563007</v>
      </c>
    </row>
    <row r="14" spans="2:9" x14ac:dyDescent="0.25">
      <c r="B14" s="16" t="s">
        <v>150</v>
      </c>
      <c r="C14" s="18">
        <f>IF(Dashboard!E$3="Reisling and Shiraz",SUMIFS('Team Data'!$I$2:$I$103,'Team Data'!$A$2:$A$103,"="&amp;B14),SUMIFS('Team Data'!$I$2:$I$103,'Team Data'!$A$2:$A$103,"="&amp;B14,'Team Data'!C$2:C$103,"="&amp;Dashboard!$E$3))</f>
        <v>187</v>
      </c>
      <c r="D14" s="17">
        <f>IF(Dashboard!E$3="Reisling and Shiraz",SUMIFS('Team Data'!$J$2:$J$103,'Team Data'!$A$2:$A$103,"="&amp;B14),SUMIFS('Team Data'!$J$2:$J$103,'Team Data'!$A$2:$A$103,"="&amp;B14,'Team Data'!C$2:C$103,"="&amp;Dashboard!$E$3))</f>
        <v>24.266606076017013</v>
      </c>
      <c r="E14" s="18">
        <f>IF(Dashboard!E$3="Reisling and Shiraz",SUMIFS('Team Data'!$K$2:$K$103,'Team Data'!$A$2:$A$103,"="&amp;B14),SUMIFS('Team Data'!$K$2:$K$103,'Team Data'!$A$2:$A$103,"="&amp;B14,'Team Data'!C$2:C$103,"="&amp;Dashboard!$E$3))</f>
        <v>6358</v>
      </c>
      <c r="F14" s="17">
        <f>IF(Dashboard!E$3="Reisling and Shiraz",SUMIFS('Team Data'!$L$2:$L$103,'Team Data'!$A$2:$A$103,"="&amp;B14),SUMIFS('Team Data'!$L$2:$L$103,'Team Data'!$A$2:$A$103,"="&amp;B14,'Team Data'!C$2:C$103,"="&amp;Dashboard!$E$3))</f>
        <v>825.06460658457854</v>
      </c>
      <c r="G14" s="24">
        <f>IF(Dashboard!E$3="Reisling and Shiraz",AVERAGEIFS('Team Data'!$S$2:$S$103,'Team Data'!$A$2:$A$103,"="&amp;B14),AVERAGEIFS('Team Data'!$S$2:$S$103,'Team Data'!$A$2:$A$103,"="&amp;B14,'Team Data'!C$2:C$103,"="&amp;Dashboard!$E$3))</f>
        <v>0.54721298126386841</v>
      </c>
    </row>
    <row r="15" spans="2:9" x14ac:dyDescent="0.25">
      <c r="B15" s="16" t="s">
        <v>151</v>
      </c>
      <c r="C15" s="18">
        <f>IF(Dashboard!E$3="Reisling and Shiraz",SUMIFS('Team Data'!$I$2:$I$103,'Team Data'!$A$2:$A$103,"="&amp;B15),SUMIFS('Team Data'!$I$2:$I$103,'Team Data'!$A$2:$A$103,"="&amp;B15,'Team Data'!C$2:C$103,"="&amp;Dashboard!$E$3))</f>
        <v>215</v>
      </c>
      <c r="D15" s="17">
        <f>IF(Dashboard!E$3="Reisling and Shiraz",SUMIFS('Team Data'!$J$2:$J$103,'Team Data'!$A$2:$A$103,"="&amp;B15),SUMIFS('Team Data'!$J$2:$J$103,'Team Data'!$A$2:$A$103,"="&amp;B15,'Team Data'!C$2:C$103,"="&amp;Dashboard!$E$3))</f>
        <v>27.912387076188967</v>
      </c>
      <c r="E15" s="18">
        <f>IF(Dashboard!E$3="Reisling and Shiraz",SUMIFS('Team Data'!$K$2:$K$103,'Team Data'!$A$2:$A$103,"="&amp;B15),SUMIFS('Team Data'!$K$2:$K$103,'Team Data'!$A$2:$A$103,"="&amp;B15,'Team Data'!C$2:C$103,"="&amp;Dashboard!$E$3))</f>
        <v>7310</v>
      </c>
      <c r="F15" s="17">
        <f>IF(Dashboard!E$3="Reisling and Shiraz",SUMIFS('Team Data'!$L$2:$L$103,'Team Data'!$A$2:$A$103,"="&amp;B15),SUMIFS('Team Data'!$L$2:$L$103,'Team Data'!$A$2:$A$103,"="&amp;B15,'Team Data'!C$2:C$103,"="&amp;Dashboard!$E$3))</f>
        <v>949.0211605904251</v>
      </c>
      <c r="G15" s="24">
        <f>IF(Dashboard!E$3="Reisling and Shiraz",AVERAGEIFS('Team Data'!$S$2:$S$103,'Team Data'!$A$2:$A$103,"="&amp;B15),AVERAGEIFS('Team Data'!$S$2:$S$103,'Team Data'!$A$2:$A$103,"="&amp;B15,'Team Data'!C$2:C$103,"="&amp;Dashboard!$E$3))</f>
        <v>0.55643314845913217</v>
      </c>
    </row>
    <row r="16" spans="2:9" x14ac:dyDescent="0.25">
      <c r="B16" s="16" t="s">
        <v>152</v>
      </c>
      <c r="C16" s="18">
        <f>IF(Dashboard!E$3="Reisling and Shiraz",SUMIFS('Team Data'!$I$2:$I$103,'Team Data'!$A$2:$A$103,"="&amp;B16),SUMIFS('Team Data'!$I$2:$I$103,'Team Data'!$A$2:$A$103,"="&amp;B16,'Team Data'!C$2:C$103,"="&amp;Dashboard!$E$3))</f>
        <v>197</v>
      </c>
      <c r="D16" s="17">
        <f>IF(Dashboard!E$3="Reisling and Shiraz",SUMIFS('Team Data'!$J$2:$J$103,'Team Data'!$A$2:$A$103,"="&amp;B16),SUMIFS('Team Data'!$J$2:$J$103,'Team Data'!$A$2:$A$103,"="&amp;B16,'Team Data'!C$2:C$103,"="&amp;Dashboard!$E$3))</f>
        <v>25.817569546514672</v>
      </c>
      <c r="E16" s="18">
        <f>IF(Dashboard!E$3="Reisling and Shiraz",SUMIFS('Team Data'!$K$2:$K$103,'Team Data'!$A$2:$A$103,"="&amp;B16),SUMIFS('Team Data'!$K$2:$K$103,'Team Data'!$A$2:$A$103,"="&amp;B16,'Team Data'!C$2:C$103,"="&amp;Dashboard!$E$3))</f>
        <v>6698</v>
      </c>
      <c r="F16" s="17">
        <f>IF(Dashboard!E$3="Reisling and Shiraz",SUMIFS('Team Data'!$L$2:$L$103,'Team Data'!$A$2:$A$103,"="&amp;B16),SUMIFS('Team Data'!$L$2:$L$103,'Team Data'!$A$2:$A$103,"="&amp;B16,'Team Data'!C$2:C$103,"="&amp;Dashboard!$E$3))</f>
        <v>877.79736458149875</v>
      </c>
      <c r="G16" s="24">
        <f>IF(Dashboard!E$3="Reisling and Shiraz",AVERAGEIFS('Team Data'!$S$2:$S$103,'Team Data'!$A$2:$A$103,"="&amp;B16),AVERAGEIFS('Team Data'!$S$2:$S$103,'Team Data'!$A$2:$A$103,"="&amp;B16,'Team Data'!C$2:C$103,"="&amp;Dashboard!$E$3))</f>
        <v>0.56272672073591068</v>
      </c>
    </row>
    <row r="17" spans="2:16" x14ac:dyDescent="0.25">
      <c r="B17" s="16" t="s">
        <v>153</v>
      </c>
      <c r="C17" s="18">
        <f>IF(Dashboard!E$3="Reisling and Shiraz",SUMIFS('Team Data'!$I$2:$I$103,'Team Data'!$A$2:$A$103,"="&amp;B17),SUMIFS('Team Data'!$I$2:$I$103,'Team Data'!$A$2:$A$103,"="&amp;B17,'Team Data'!C$2:C$103,"="&amp;Dashboard!$E$3))</f>
        <v>201</v>
      </c>
      <c r="D17" s="17">
        <f>IF(Dashboard!E$3="Reisling and Shiraz",SUMIFS('Team Data'!$J$2:$J$103,'Team Data'!$A$2:$A$103,"="&amp;B17),SUMIFS('Team Data'!$J$2:$J$103,'Team Data'!$A$2:$A$103,"="&amp;B17,'Team Data'!C$2:C$103,"="&amp;Dashboard!$E$3))</f>
        <v>26.47965882337424</v>
      </c>
      <c r="E17" s="18">
        <f>IF(Dashboard!E$3="Reisling and Shiraz",SUMIFS('Team Data'!$K$2:$K$103,'Team Data'!$A$2:$A$103,"="&amp;B17),SUMIFS('Team Data'!$K$2:$K$103,'Team Data'!$A$2:$A$103,"="&amp;B17,'Team Data'!C$2:C$103,"="&amp;Dashboard!$E$3))</f>
        <v>6834</v>
      </c>
      <c r="F17" s="17">
        <f>IF(Dashboard!E$3="Reisling and Shiraz",SUMIFS('Team Data'!$L$2:$L$103,'Team Data'!$A$2:$A$103,"="&amp;B17),SUMIFS('Team Data'!$L$2:$L$103,'Team Data'!$A$2:$A$103,"="&amp;B17,'Team Data'!C$2:C$103,"="&amp;Dashboard!$E$3))</f>
        <v>900.30839999472414</v>
      </c>
      <c r="G17" s="24">
        <f>IF(Dashboard!E$3="Reisling and Shiraz",AVERAGEIFS('Team Data'!$S$2:$S$103,'Team Data'!$A$2:$A$103,"="&amp;B17),AVERAGEIFS('Team Data'!$S$2:$S$103,'Team Data'!$A$2:$A$103,"="&amp;B17,'Team Data'!C$2:C$103,"="&amp;Dashboard!$E$3))</f>
        <v>0.54848647360039382</v>
      </c>
    </row>
    <row r="18" spans="2:16" x14ac:dyDescent="0.25">
      <c r="B18" s="16" t="s">
        <v>154</v>
      </c>
      <c r="C18" s="18">
        <f>IF(Dashboard!E$3="Reisling and Shiraz",SUMIFS('Team Data'!$I$2:$I$103,'Team Data'!$A$2:$A$103,"="&amp;B18),SUMIFS('Team Data'!$I$2:$I$103,'Team Data'!$A$2:$A$103,"="&amp;B18,'Team Data'!C$2:C$103,"="&amp;Dashboard!$E$3))</f>
        <v>195</v>
      </c>
      <c r="D18" s="17">
        <f>IF(Dashboard!E$3="Reisling and Shiraz",SUMIFS('Team Data'!$J$2:$J$103,'Team Data'!$A$2:$A$103,"="&amp;B18),SUMIFS('Team Data'!$J$2:$J$103,'Team Data'!$A$2:$A$103,"="&amp;B18,'Team Data'!C$2:C$103,"="&amp;Dashboard!$E$3))</f>
        <v>25.381072459682443</v>
      </c>
      <c r="E18" s="18">
        <f>IF(Dashboard!E$3="Reisling and Shiraz",SUMIFS('Team Data'!$K$2:$K$103,'Team Data'!$A$2:$A$103,"="&amp;B18),SUMIFS('Team Data'!$K$2:$K$103,'Team Data'!$A$2:$A$103,"="&amp;B18,'Team Data'!C$2:C$103,"="&amp;Dashboard!$E$3))</f>
        <v>6630</v>
      </c>
      <c r="F18" s="17">
        <f>IF(Dashboard!E$3="Reisling and Shiraz",SUMIFS('Team Data'!$L$2:$L$103,'Team Data'!$A$2:$A$103,"="&amp;B18),SUMIFS('Team Data'!$L$2:$L$103,'Team Data'!$A$2:$A$103,"="&amp;B18,'Team Data'!C$2:C$103,"="&amp;Dashboard!$E$3))</f>
        <v>862.95646362920309</v>
      </c>
      <c r="G18" s="24">
        <f>IF(Dashboard!E$3="Reisling and Shiraz",AVERAGEIFS('Team Data'!$S$2:$S$103,'Team Data'!$A$2:$A$103,"="&amp;B18),AVERAGEIFS('Team Data'!$S$2:$S$103,'Team Data'!$A$2:$A$103,"="&amp;B18,'Team Data'!C$2:C$103,"="&amp;Dashboard!$E$3))</f>
        <v>0.57118908673530666</v>
      </c>
    </row>
    <row r="19" spans="2:16" x14ac:dyDescent="0.25">
      <c r="B19" s="16" t="s">
        <v>155</v>
      </c>
      <c r="C19" s="18">
        <f>IF(Dashboard!E$3="Reisling and Shiraz",SUMIFS('Team Data'!$I$2:$I$103,'Team Data'!$A$2:$A$103,"="&amp;B19),SUMIFS('Team Data'!$I$2:$I$103,'Team Data'!$A$2:$A$103,"="&amp;B19,'Team Data'!C$2:C$103,"="&amp;Dashboard!$E$3))</f>
        <v>209</v>
      </c>
      <c r="D19" s="17">
        <f>IF(Dashboard!E$3="Reisling and Shiraz",SUMIFS('Team Data'!$J$2:$J$103,'Team Data'!$A$2:$A$103,"="&amp;B19),SUMIFS('Team Data'!$J$2:$J$103,'Team Data'!$A$2:$A$103,"="&amp;B19,'Team Data'!C$2:C$103,"="&amp;Dashboard!$E$3))</f>
        <v>27.499822948036972</v>
      </c>
      <c r="E19" s="18">
        <f>IF(Dashboard!E$3="Reisling and Shiraz",SUMIFS('Team Data'!$K$2:$K$103,'Team Data'!$A$2:$A$103,"="&amp;B19),SUMIFS('Team Data'!$K$2:$K$103,'Team Data'!$A$2:$A$103,"="&amp;B19,'Team Data'!C$2:C$103,"="&amp;Dashboard!$E$3))</f>
        <v>7106</v>
      </c>
      <c r="F19" s="17">
        <f>IF(Dashboard!E$3="Reisling and Shiraz",SUMIFS('Team Data'!$L$2:$L$103,'Team Data'!$A$2:$A$103,"="&amp;B19),SUMIFS('Team Data'!$L$2:$L$103,'Team Data'!$A$2:$A$103,"="&amp;B19,'Team Data'!C$2:C$103,"="&amp;Dashboard!$E$3))</f>
        <v>934.99398023325716</v>
      </c>
      <c r="G19" s="24">
        <f>IF(Dashboard!E$3="Reisling and Shiraz",AVERAGEIFS('Team Data'!$S$2:$S$103,'Team Data'!$A$2:$A$103,"="&amp;B19),AVERAGEIFS('Team Data'!$S$2:$S$103,'Team Data'!$A$2:$A$103,"="&amp;B19,'Team Data'!C$2:C$103,"="&amp;Dashboard!$E$3))</f>
        <v>0.5602277236380161</v>
      </c>
    </row>
    <row r="20" spans="2:16" ht="15.75" thickBot="1" x14ac:dyDescent="0.3">
      <c r="B20" s="27" t="s">
        <v>156</v>
      </c>
      <c r="C20" s="28">
        <f>IF(Dashboard!E$3="Reisling and Shiraz",SUMIFS('Team Data'!$I$2:$I$103,'Team Data'!$A$2:$A$103,"="&amp;B20),SUMIFS('Team Data'!$I$2:$I$103,'Team Data'!$A$2:$A$103,"="&amp;B20,'Team Data'!C$2:C$103,"="&amp;Dashboard!$E$3))</f>
        <v>206</v>
      </c>
      <c r="D20" s="29">
        <f>IF(Dashboard!E$3="Reisling and Shiraz",SUMIFS('Team Data'!$J$2:$J$103,'Team Data'!$A$2:$A$103,"="&amp;B20),SUMIFS('Team Data'!$J$2:$J$103,'Team Data'!$A$2:$A$103,"="&amp;B20,'Team Data'!C$2:C$103,"="&amp;Dashboard!$E$3))</f>
        <v>27.029176716435359</v>
      </c>
      <c r="E20" s="28">
        <f>IF(Dashboard!E$3="Reisling and Shiraz",SUMIFS('Team Data'!$K$2:$K$103,'Team Data'!$A$2:$A$103,"="&amp;B20),SUMIFS('Team Data'!$K$2:$K$103,'Team Data'!$A$2:$A$103,"="&amp;B20,'Team Data'!C$2:C$103,"="&amp;Dashboard!$E$3))</f>
        <v>7004</v>
      </c>
      <c r="F20" s="29">
        <f>IF(Dashboard!E$3="Reisling and Shiraz",SUMIFS('Team Data'!$L$2:$L$103,'Team Data'!$A$2:$A$103,"="&amp;B20),SUMIFS('Team Data'!$L$2:$L$103,'Team Data'!$A$2:$A$103,"="&amp;B20,'Team Data'!C$2:C$103,"="&amp;Dashboard!$E$3))</f>
        <v>918.99200835880197</v>
      </c>
      <c r="G20" s="30">
        <f>IF(Dashboard!E$3="Reisling and Shiraz",AVERAGEIFS('Team Data'!$S$2:$S$103,'Team Data'!$A$2:$A$103,"="&amp;B20),AVERAGEIFS('Team Data'!$S$2:$S$103,'Team Data'!$A$2:$A$103,"="&amp;B20,'Team Data'!C$2:C$103,"="&amp;Dashboard!$E$3))</f>
        <v>0.56396465506056803</v>
      </c>
    </row>
    <row r="21" spans="2:16" ht="15.75" thickBot="1" x14ac:dyDescent="0.3">
      <c r="B21" s="36" t="s">
        <v>17</v>
      </c>
      <c r="C21" s="37">
        <f>SUM(C11:C20)</f>
        <v>2015</v>
      </c>
      <c r="D21" s="38">
        <f>SUM(D11:D20)</f>
        <v>263.88139307563694</v>
      </c>
      <c r="E21" s="37">
        <f>SUM(E11:E20)</f>
        <v>68510</v>
      </c>
      <c r="F21" s="38">
        <f>SUM(F11:F20)</f>
        <v>8971.9673645716557</v>
      </c>
      <c r="G21" s="39">
        <f>AVERAGE(G11:G20)</f>
        <v>0.55966164918912709</v>
      </c>
    </row>
    <row r="22" spans="2:16" ht="15.75" thickBot="1" x14ac:dyDescent="0.3"/>
    <row r="23" spans="2:16" ht="15.75" thickBot="1" x14ac:dyDescent="0.3">
      <c r="B23" s="62" t="s">
        <v>4</v>
      </c>
      <c r="C23" s="63" t="s">
        <v>8</v>
      </c>
      <c r="D23" s="63" t="s">
        <v>9</v>
      </c>
      <c r="E23" s="64" t="s">
        <v>10</v>
      </c>
      <c r="F23" s="63" t="s">
        <v>11</v>
      </c>
      <c r="G23" s="65" t="s">
        <v>135</v>
      </c>
    </row>
    <row r="24" spans="2:16" x14ac:dyDescent="0.25">
      <c r="B24" s="60" t="s">
        <v>30</v>
      </c>
      <c r="C24" s="61">
        <f>IF(Dashboard!E$3="Reisling and Shiraz",SUMIFS('Team Data'!$I$2:$I$103,'Team Data'!$E$2:$E$103,"="&amp;B24),SUMIFS('Team Data'!$I$2:$I$103,'Team Data'!$E$2:$E$103,"="&amp;B24,'Team Data'!C$2:C$103,"="&amp;Dashboard!$E$3))</f>
        <v>351</v>
      </c>
      <c r="D24" s="58">
        <f>IF(Dashboard!E$3="Reisling and Shiraz",SUMIFS('Team Data'!$J$2:$J$103,'Team Data'!$E$2:$E$103,"="&amp;B24),SUMIFS('Team Data'!$J$2:$J$103,'Team Data'!$E$2:$E$103,"="&amp;B24,'Team Data'!C$2:C$103,"="&amp;Dashboard!$E$3))</f>
        <v>45.541333791550791</v>
      </c>
      <c r="E24" s="61">
        <f>IF(Dashboard!E$3="Reisling and Shiraz",SUMIFS('Team Data'!$K$2:$K$103,'Team Data'!$E$2:$E$103,"="&amp;B24),SUMIFS('Team Data'!$K$2:$K$103,'Team Data'!$E$2:$E$103,"="&amp;B24,'Team Data'!C$2:C$103,"="&amp;Dashboard!$E$3))</f>
        <v>11934</v>
      </c>
      <c r="F24" s="58">
        <f>IF(Dashboard!E$3="Reisling and Shiraz",SUMIFS('Team Data'!$L$2:$L$103,'Team Data'!$E$2:$E$103,"="&amp;B24),SUMIFS('Team Data'!$L$2:$L$103,'Team Data'!$E$2:$E$103,"="&amp;B24,'Team Data'!C$2:C$103,"="&amp;Dashboard!$E$3))</f>
        <v>1548.4053489127268</v>
      </c>
      <c r="G24" s="59">
        <f>IF(Dashboard!E$3="Reisling and Shiraz",AVERAGEIFS('Team Data'!$S$2:$S$103,'Team Data'!$E$2:$E$103,"="&amp;B24),IF(ISERR(AVERAGEIFS('Team Data'!$S$2:$S$103,'Team Data'!$E$2:$E$103,"="&amp;B24,'Team Data'!C$2:C$103,"="&amp;Dashboard!$E$3)),"",AVERAGEIFS('Team Data'!$S$2:$S$103,'Team Data'!$E$2:$E$103,"="&amp;B24,'Team Data'!C$2:C$103,"="&amp;Dashboard!$E$3)))</f>
        <v>0.55964070189039217</v>
      </c>
      <c r="P24" t="str">
        <f>IF(ISERR(AVERAGEIFS('Team Data'!$S$2:$S$103,'Team Data'!$E$2:$E$103,"="&amp;B24,'Team Data'!C$2:C$103,"="&amp;Dashboard!$E$3)),"",1)</f>
        <v/>
      </c>
    </row>
    <row r="25" spans="2:16" x14ac:dyDescent="0.25">
      <c r="B25" s="43" t="s">
        <v>26</v>
      </c>
      <c r="C25" s="14">
        <f>IF(Dashboard!E$3="Reisling and Shiraz",SUMIFS('Team Data'!$I$2:$I$103,'Team Data'!$E$2:$E$103,"="&amp;B25),SUMIFS('Team Data'!$I$2:$I$103,'Team Data'!$E$2:$E$103,"="&amp;B25,'Team Data'!C$2:C$103,"="&amp;Dashboard!$E$3))</f>
        <v>341</v>
      </c>
      <c r="D25" s="15">
        <f>IF(Dashboard!E$3="Reisling and Shiraz",SUMIFS('Team Data'!$J$2:$J$103,'Team Data'!$E$2:$E$103,"="&amp;B25),SUMIFS('Team Data'!$J$2:$J$103,'Team Data'!$E$2:$E$103,"="&amp;B25,'Team Data'!C$2:C$103,"="&amp;Dashboard!$E$3))</f>
        <v>44.482383232158497</v>
      </c>
      <c r="E25" s="14">
        <f>IF(Dashboard!E$3="Reisling and Shiraz",SUMIFS('Team Data'!$K$2:$K$103,'Team Data'!$E$2:$E$103,"="&amp;B25),SUMIFS('Team Data'!$K$2:$K$103,'Team Data'!$E$2:$E$103,"="&amp;B25,'Team Data'!C$2:C$103,"="&amp;Dashboard!$E$3))</f>
        <v>11594</v>
      </c>
      <c r="F25" s="58">
        <f>IF(Dashboard!E$3="Reisling and Shiraz",SUMIFS('Team Data'!$L$2:$L$103,'Team Data'!$E$2:$E$103,"="&amp;B25),SUMIFS('Team Data'!$L$2:$L$103,'Team Data'!$E$2:$E$103,"="&amp;B25,'Team Data'!C$2:C$103,"="&amp;Dashboard!$E$3))</f>
        <v>1512.4010298933892</v>
      </c>
      <c r="G25" s="31">
        <f>IF(Dashboard!E$3="Reisling and Shiraz",AVERAGEIFS('Team Data'!$S$2:$S$103,'Team Data'!$E$2:$E$103,"="&amp;B25),IF(ISERR(AVERAGEIFS('Team Data'!$S$2:$S$103,'Team Data'!$E$2:$E$103,"="&amp;B25,'Team Data'!C$2:C$103,"="&amp;Dashboard!$E$3)),"",AVERAGEIFS('Team Data'!$S$2:$S$103,'Team Data'!$E$2:$E$103,"="&amp;B25,'Team Data'!C$2:C$103,"="&amp;Dashboard!$E$3)))</f>
        <v>0.55942693936950216</v>
      </c>
      <c r="P25" s="47"/>
    </row>
    <row r="26" spans="2:16" x14ac:dyDescent="0.25">
      <c r="B26" s="43" t="s">
        <v>39</v>
      </c>
      <c r="C26" s="14">
        <f>IF(Dashboard!E$3="Reisling and Shiraz",SUMIFS('Team Data'!$I$2:$I$103,'Team Data'!$E$2:$E$103,"="&amp;B26),SUMIFS('Team Data'!$I$2:$I$103,'Team Data'!$E$2:$E$103,"="&amp;B26,'Team Data'!C$2:C$103,"="&amp;Dashboard!$E$3))</f>
        <v>344</v>
      </c>
      <c r="D26" s="15">
        <f>IF(Dashboard!E$3="Reisling and Shiraz",SUMIFS('Team Data'!$J$2:$J$103,'Team Data'!$E$2:$E$103,"="&amp;B26),SUMIFS('Team Data'!$J$2:$J$103,'Team Data'!$E$2:$E$103,"="&amp;B26,'Team Data'!C$2:C$103,"="&amp;Dashboard!$E$3))</f>
        <v>45.003445052381629</v>
      </c>
      <c r="E26" s="14">
        <f>IF(Dashboard!E$3="Reisling and Shiraz",SUMIFS('Team Data'!$K$2:$K$103,'Team Data'!$E$2:$E$103,"="&amp;B26),SUMIFS('Team Data'!$K$2:$K$103,'Team Data'!$E$2:$E$103,"="&amp;B26,'Team Data'!C$2:C$103,"="&amp;Dashboard!$E$3))</f>
        <v>11696</v>
      </c>
      <c r="F26" s="58">
        <f>IF(Dashboard!E$3="Reisling and Shiraz",SUMIFS('Team Data'!$L$2:$L$103,'Team Data'!$E$2:$E$103,"="&amp;B26),SUMIFS('Team Data'!$L$2:$L$103,'Team Data'!$E$2:$E$103,"="&amp;B26,'Team Data'!C$2:C$103,"="&amp;Dashboard!$E$3))</f>
        <v>1530.1171317809756</v>
      </c>
      <c r="G26" s="31">
        <f>IF(Dashboard!E$3="Reisling and Shiraz",AVERAGEIFS('Team Data'!$S$2:$S$103,'Team Data'!$E$2:$E$103,"="&amp;B26),IF(ISERR(AVERAGEIFS('Team Data'!$S$2:$S$103,'Team Data'!$E$2:$E$103,"="&amp;B26,'Team Data'!C$2:C$103,"="&amp;Dashboard!$E$3)),"",AVERAGEIFS('Team Data'!$S$2:$S$103,'Team Data'!$E$2:$E$103,"="&amp;B26,'Team Data'!C$2:C$103,"="&amp;Dashboard!$E$3)))</f>
        <v>0.55759659093515257</v>
      </c>
    </row>
    <row r="27" spans="2:16" x14ac:dyDescent="0.25">
      <c r="B27" s="43" t="s">
        <v>32</v>
      </c>
      <c r="C27" s="14">
        <f>IF(Dashboard!E$3="Reisling and Shiraz",SUMIFS('Team Data'!$I$2:$I$103,'Team Data'!$E$2:$E$103,"="&amp;B27),SUMIFS('Team Data'!$I$2:$I$103,'Team Data'!$E$2:$E$103,"="&amp;B27,'Team Data'!C$2:C$103,"="&amp;Dashboard!$E$3))</f>
        <v>329</v>
      </c>
      <c r="D27" s="15">
        <f>IF(Dashboard!E$3="Reisling and Shiraz",SUMIFS('Team Data'!$J$2:$J$103,'Team Data'!$E$2:$E$103,"="&amp;B27),SUMIFS('Team Data'!$J$2:$J$103,'Team Data'!$E$2:$E$103,"="&amp;B27,'Team Data'!C$2:C$103,"="&amp;Dashboard!$E$3))</f>
        <v>42.847861798073829</v>
      </c>
      <c r="E27" s="14">
        <f>IF(Dashboard!E$3="Reisling and Shiraz",SUMIFS('Team Data'!$K$2:$K$103,'Team Data'!$E$2:$E$103,"="&amp;B27),SUMIFS('Team Data'!$K$2:$K$103,'Team Data'!$E$2:$E$103,"="&amp;B27,'Team Data'!C$2:C$103,"="&amp;Dashboard!$E$3))</f>
        <v>11186</v>
      </c>
      <c r="F27" s="15">
        <f>IF(Dashboard!E$3="Reisling and Shiraz",SUMIFS('Team Data'!$L$2:$L$103,'Team Data'!$E$2:$E$103,"="&amp;B27),SUMIFS('Team Data'!$L$2:$L$103,'Team Data'!$E$2:$E$103,"="&amp;B27,'Team Data'!C$2:C$103,"="&amp;Dashboard!$E$3))</f>
        <v>1456.8273011345102</v>
      </c>
      <c r="G27" s="31">
        <f>IF(Dashboard!E$3="Reisling and Shiraz",AVERAGEIFS('Team Data'!$S$2:$S$103,'Team Data'!$E$2:$E$103,"="&amp;B27),IF(ISERR(AVERAGEIFS('Team Data'!$S$2:$S$103,'Team Data'!$E$2:$E$103,"="&amp;B27,'Team Data'!C$2:C$103,"="&amp;Dashboard!$E$3)),"",AVERAGEIFS('Team Data'!$S$2:$S$103,'Team Data'!$E$2:$E$103,"="&amp;B27,'Team Data'!C$2:C$103,"="&amp;Dashboard!$E$3)))</f>
        <v>0.56999192843532565</v>
      </c>
    </row>
    <row r="28" spans="2:16" x14ac:dyDescent="0.25">
      <c r="B28" s="43" t="s">
        <v>23</v>
      </c>
      <c r="C28" s="14">
        <f>IF(Dashboard!E$3="Reisling and Shiraz",SUMIFS('Team Data'!$I$2:$I$103,'Team Data'!$E$2:$E$103,"="&amp;B28),SUMIFS('Team Data'!$I$2:$I$103,'Team Data'!$E$2:$E$103,"="&amp;B28,'Team Data'!C$2:C$103,"="&amp;Dashboard!$E$3))</f>
        <v>330</v>
      </c>
      <c r="D28" s="15">
        <f>IF(Dashboard!E$3="Reisling and Shiraz",SUMIFS('Team Data'!$J$2:$J$103,'Team Data'!$E$2:$E$103,"="&amp;B28),SUMIFS('Team Data'!$J$2:$J$103,'Team Data'!$E$2:$E$103,"="&amp;B28,'Team Data'!C$2:C$103,"="&amp;Dashboard!$E$3))</f>
        <v>43.50316910023318</v>
      </c>
      <c r="E28" s="14">
        <f>IF(Dashboard!E$3="Reisling and Shiraz",SUMIFS('Team Data'!$K$2:$K$103,'Team Data'!$E$2:$E$103,"="&amp;B28),SUMIFS('Team Data'!$K$2:$K$103,'Team Data'!$E$2:$E$103,"="&amp;B28,'Team Data'!C$2:C$103,"="&amp;Dashboard!$E$3))</f>
        <v>11220</v>
      </c>
      <c r="F28" s="15">
        <f>IF(Dashboard!E$3="Reisling and Shiraz",SUMIFS('Team Data'!$L$2:$L$103,'Team Data'!$E$2:$E$103,"="&amp;B28),SUMIFS('Team Data'!$L$2:$L$103,'Team Data'!$E$2:$E$103,"="&amp;B28,'Team Data'!C$2:C$103,"="&amp;Dashboard!$E$3))</f>
        <v>1479.1077494079284</v>
      </c>
      <c r="G28" s="31">
        <f>IF(Dashboard!E$3="Reisling and Shiraz",AVERAGEIFS('Team Data'!$S$2:$S$103,'Team Data'!$E$2:$E$103,"="&amp;B28),IF(ISERR(AVERAGEIFS('Team Data'!$S$2:$S$103,'Team Data'!$E$2:$E$103,"="&amp;B28,'Team Data'!C$2:C$103,"="&amp;Dashboard!$E$3)),"",AVERAGEIFS('Team Data'!$S$2:$S$103,'Team Data'!$E$2:$E$103,"="&amp;B28,'Team Data'!C$2:C$103,"="&amp;Dashboard!$E$3)))</f>
        <v>0.56156961871557709</v>
      </c>
    </row>
    <row r="29" spans="2:16" ht="15.75" thickBot="1" x14ac:dyDescent="0.3">
      <c r="B29" s="68" t="s">
        <v>19</v>
      </c>
      <c r="C29" s="69">
        <f>IF(Dashboard!E$3="Reisling and Shiraz",SUMIFS('Team Data'!$I$2:$I$103,'Team Data'!$E$2:$E$103,"="&amp;B29),SUMIFS('Team Data'!$I$2:$I$103,'Team Data'!$E$2:$E$103,"="&amp;B29,'Team Data'!C$2:C$103,"="&amp;Dashboard!$E$3))</f>
        <v>320</v>
      </c>
      <c r="D29" s="66">
        <f>IF(Dashboard!E$3="Reisling and Shiraz",SUMIFS('Team Data'!$J$2:$J$103,'Team Data'!$E$2:$E$103,"="&amp;B29),SUMIFS('Team Data'!$J$2:$J$103,'Team Data'!$E$2:$E$103,"="&amp;B29,'Team Data'!C$2:C$103,"="&amp;Dashboard!$E$3))</f>
        <v>42.503200101238974</v>
      </c>
      <c r="E29" s="69">
        <f>IF(Dashboard!E$3="Reisling and Shiraz",SUMIFS('Team Data'!$K$2:$K$103,'Team Data'!$E$2:$E$103,"="&amp;B29),SUMIFS('Team Data'!$K$2:$K$103,'Team Data'!$E$2:$E$103,"="&amp;B29,'Team Data'!C$2:C$103,"="&amp;Dashboard!$E$3))</f>
        <v>10880</v>
      </c>
      <c r="F29" s="66">
        <f>IF(Dashboard!E$3="Reisling and Shiraz",SUMIFS('Team Data'!$L$2:$L$103,'Team Data'!$E$2:$E$103,"="&amp;B29),SUMIFS('Team Data'!$L$2:$L$103,'Team Data'!$E$2:$E$103,"="&amp;B29,'Team Data'!C$2:C$103,"="&amp;Dashboard!$E$3))</f>
        <v>1445.1088034421252</v>
      </c>
      <c r="G29" s="67">
        <f>IF(Dashboard!E$3="Reisling and Shiraz",AVERAGEIFS('Team Data'!$S$2:$S$103,'Team Data'!$E$2:$E$103,"="&amp;B29),IF(ISERR(AVERAGEIFS('Team Data'!$S$2:$S$103,'Team Data'!$E$2:$E$103,"="&amp;B29,'Team Data'!C$2:C$103,"="&amp;Dashboard!$E$3)),"",AVERAGEIFS('Team Data'!$S$2:$S$103,'Team Data'!$E$2:$E$103,"="&amp;B29,'Team Data'!C$2:C$103,"="&amp;Dashboard!$E$3)))</f>
        <v>0.55003053227824383</v>
      </c>
    </row>
    <row r="30" spans="2:16" ht="15.75" thickBot="1" x14ac:dyDescent="0.3">
      <c r="B30" s="70" t="s">
        <v>17</v>
      </c>
      <c r="C30" s="71">
        <f>SUM(C24:C29)</f>
        <v>2015</v>
      </c>
      <c r="D30" s="72">
        <f>SUM(D24:D29)</f>
        <v>263.88139307563688</v>
      </c>
      <c r="E30" s="73">
        <f>SUM(E24:E29)</f>
        <v>68510</v>
      </c>
      <c r="F30" s="72">
        <f>SUM(F24:F29)</f>
        <v>8971.9673645716557</v>
      </c>
      <c r="G30" s="74">
        <f>AVERAGE(G24:G29)</f>
        <v>0.55970938527069891</v>
      </c>
    </row>
    <row r="34" spans="2:10" ht="15.75" thickBot="1" x14ac:dyDescent="0.3"/>
    <row r="35" spans="2:10" ht="19.5" customHeight="1" thickBot="1" x14ac:dyDescent="0.3">
      <c r="B35" s="156" t="s">
        <v>159</v>
      </c>
      <c r="C35" s="157"/>
      <c r="D35" s="157"/>
      <c r="E35" s="158"/>
      <c r="G35" s="156" t="s">
        <v>139</v>
      </c>
      <c r="H35" s="157"/>
      <c r="I35" s="157"/>
      <c r="J35" s="158"/>
    </row>
    <row r="36" spans="2:10" ht="30.75" thickBot="1" x14ac:dyDescent="0.3">
      <c r="B36" s="126" t="s">
        <v>128</v>
      </c>
      <c r="C36" s="127" t="s">
        <v>141</v>
      </c>
      <c r="D36" s="128" t="s">
        <v>129</v>
      </c>
      <c r="E36" s="129" t="s">
        <v>137</v>
      </c>
      <c r="G36" s="126" t="s">
        <v>128</v>
      </c>
      <c r="H36" s="127" t="s">
        <v>140</v>
      </c>
      <c r="I36" s="128" t="s">
        <v>129</v>
      </c>
      <c r="J36" s="129" t="s">
        <v>137</v>
      </c>
    </row>
    <row r="37" spans="2:10" x14ac:dyDescent="0.25">
      <c r="B37" s="124" t="str">
        <f t="array" ref="B37">INDEX('Team Data'!B$1:B$103,SMALL(IF('Team Data'!T$1:T$103=C37,ROW('Team Data'!T$1:T$103),""),IF(NOT(C37=C36),1,IF(NOT(C36=C35),2,IF(NOT(C35=C31),3,4)))),1)</f>
        <v>Xerxes</v>
      </c>
      <c r="C37" s="125">
        <f>SMALL('Team Data'!T$2:T$103,1)</f>
        <v>12.625</v>
      </c>
      <c r="D37" s="122">
        <f>INDEX('Team Data'!B$1:S$103,MATCH(B37,'Team Data'!B$1:B$103,0),18)</f>
        <v>0.5982142857142857</v>
      </c>
      <c r="E37" s="123" t="str">
        <f>INDEX('Team Data'!B$1:C$103,MATCH(B37,'Team Data'!B$1:B$103,0),2)</f>
        <v>Shiraz</v>
      </c>
      <c r="G37" s="124" t="str">
        <f t="array" ref="G37">INDEX('Team Data'!B$1:B$103,SMALL(IF('Team Data'!J$1:J$103=H37,ROW('Team Data'!J$1:J$103),""),IF(NOT(H37=H36),1,IF(NOT(H36=H35),2,IF(NOT(H35=H31),3,4)))),1)</f>
        <v>Mercedes</v>
      </c>
      <c r="H37" s="125">
        <f>LARGE('Team Data'!J2:J103,1)</f>
        <v>3.4246575342465753</v>
      </c>
      <c r="I37" s="122">
        <f>INDEX('Team Data'!B$1:S$103,MATCH(G37,'Team Data'!B$1:B$103,0),18)</f>
        <v>0.56310679611650483</v>
      </c>
      <c r="J37" s="123" t="str">
        <f>INDEX('Team Data'!B$1:C$103,MATCH(G37,'Team Data'!B$1:B$103,0),2)</f>
        <v>Shiraz</v>
      </c>
    </row>
    <row r="38" spans="2:10" x14ac:dyDescent="0.25">
      <c r="B38" s="75" t="str">
        <f t="array" ref="B38">INDEX('Team Data'!B$1:B$103,SMALL(IF('Team Data'!T$1:T$103=C38,ROW('Team Data'!T$1:T$103),""),IF(NOT(C38=C37),1,IF(NOT(C37=C36),2,IF(NOT(C36=C35),3,4)))),1)</f>
        <v>Inez</v>
      </c>
      <c r="C38" s="99">
        <f>SMALL('Team Data'!T2:T103,2)</f>
        <v>13.2</v>
      </c>
      <c r="D38" s="78">
        <f>INDEX('Team Data'!B$1:S$103,MATCH(B38,'Team Data'!B$1:B$103,0),18)</f>
        <v>0.58333333333333337</v>
      </c>
      <c r="E38" s="80" t="str">
        <f>INDEX('Team Data'!B$1:C$103,MATCH(B38,'Team Data'!B$1:B$103,0),2)</f>
        <v>Shiraz</v>
      </c>
      <c r="G38" s="75" t="str">
        <f t="array" ref="G38">INDEX('Team Data'!B$1:B$103,SMALL(IF('Team Data'!J$1:J$103=H38,ROW('Team Data'!J$1:J$103),""),IF(NOT(H38=H37),1,IF(NOT(H37=H36),2,IF(NOT(H36=H35),3,4)))),1)</f>
        <v>Zia</v>
      </c>
      <c r="H38" s="99">
        <f>LARGE('Team Data'!J2:J1033,2)</f>
        <v>3.3333333333333335</v>
      </c>
      <c r="I38" s="78">
        <f>INDEX('Team Data'!B$1:S$103,MATCH(G38,'Team Data'!B$1:B$103,0),18)</f>
        <v>0.5145631067961165</v>
      </c>
      <c r="J38" s="80" t="str">
        <f>INDEX('Team Data'!B$1:C$103,MATCH(G38,'Team Data'!B$1:B$103,0),2)</f>
        <v>Shiraz</v>
      </c>
    </row>
    <row r="39" spans="2:10" x14ac:dyDescent="0.25">
      <c r="B39" s="75" t="str">
        <f t="array" ref="B39">INDEX('Team Data'!B$1:B$103,SMALL(IF('Team Data'!T$1:T$103=C39,ROW('Team Data'!T$1:T$103),""),IF(NOT(C39=C38),1,IF(NOT(C38=C37),2,IF(NOT(C37=C36),3,4)))),1)</f>
        <v>Serina</v>
      </c>
      <c r="C39" s="99">
        <f>SMALL('Team Data'!T2:T103,3)</f>
        <v>13.32</v>
      </c>
      <c r="D39" s="78">
        <f>INDEX('Team Data'!B$1:S$103,MATCH(B39,'Team Data'!B$1:B$103,0),18)</f>
        <v>0.57272727272727275</v>
      </c>
      <c r="E39" s="80" t="str">
        <f>INDEX('Team Data'!B$1:C$103,MATCH(B39,'Team Data'!B$1:B$103,0),2)</f>
        <v>Reisling</v>
      </c>
      <c r="G39" s="75" t="str">
        <f t="array" ref="G39">INDEX('Team Data'!B$1:B$103,SMALL(IF('Team Data'!J$1:J$103=H39,ROW('Team Data'!J$1:J$103),""),IF(NOT(H39=H38),1,IF(NOT(H38=H37),2,IF(NOT(H37=H36),3,4)))),1)</f>
        <v>Kendall</v>
      </c>
      <c r="H39" s="99">
        <f>LARGE('Team Data'!J2:J103,3)</f>
        <v>3.2876712328767126</v>
      </c>
      <c r="I39" s="78">
        <f>INDEX('Team Data'!B$1:S$103,MATCH(G39,'Team Data'!B$1:B$103,0),18)</f>
        <v>0.53846153846153844</v>
      </c>
      <c r="J39" s="80" t="str">
        <f>INDEX('Team Data'!B$1:C$103,MATCH(G39,'Team Data'!B$1:B$103,0),2)</f>
        <v>Shiraz</v>
      </c>
    </row>
    <row r="40" spans="2:10" x14ac:dyDescent="0.25">
      <c r="B40" s="75" t="str">
        <f t="array" ref="B40">INDEX('Team Data'!B$1:B$103,SMALL(IF('Team Data'!T$1:T$103=C40,ROW('Team Data'!T$1:T$103),""),IF(NOT(C40=C39),1,IF(NOT(C39=C38),2,IF(NOT(C38=C37),3,4)))),1)</f>
        <v>Farrah</v>
      </c>
      <c r="C40" s="99">
        <f>SMALL('Team Data'!T2:T103,4)</f>
        <v>13.375</v>
      </c>
      <c r="D40" s="78">
        <f>INDEX('Team Data'!B$1:S$103,MATCH(B40,'Team Data'!B$1:B$103,0),18)</f>
        <v>0.52212389380530977</v>
      </c>
      <c r="E40" s="80" t="str">
        <f>INDEX('Team Data'!B$1:C$103,MATCH(B40,'Team Data'!B$1:B$103,0),2)</f>
        <v>Shiraz</v>
      </c>
      <c r="G40" s="75" t="str">
        <f t="array" ref="G40">INDEX('Team Data'!B$1:B$103,SMALL(IF('Team Data'!J$1:J$103=H40,ROW('Team Data'!J$1:J$103),""),IF(NOT(H40=H39),1,IF(NOT(H39=H38),2,IF(NOT(H38=H37),3,4)))),1)</f>
        <v>Xerxes</v>
      </c>
      <c r="H40" s="99">
        <f>LARGE('Team Data'!J2:J103,4)</f>
        <v>3.2876712328767126</v>
      </c>
      <c r="I40" s="78">
        <f>INDEX('Team Data'!B$1:S$103,MATCH(G40,'Team Data'!B$1:B$103,0),18)</f>
        <v>0.5982142857142857</v>
      </c>
      <c r="J40" s="80" t="str">
        <f>INDEX('Team Data'!B$1:C$103,MATCH(G40,'Team Data'!B$1:B$103,0),2)</f>
        <v>Shiraz</v>
      </c>
    </row>
    <row r="41" spans="2:10" x14ac:dyDescent="0.25">
      <c r="B41" s="75" t="str">
        <f t="array" ref="B41">INDEX('Team Data'!B$1:B$103,SMALL(IF('Team Data'!T$1:T$103=C41,ROW('Team Data'!T$1:T$103),""),IF(NOT(C41=C40),1,IF(NOT(C40=C39),2,IF(NOT(C39=C38),3,4)))),1)</f>
        <v>Mercedes</v>
      </c>
      <c r="C41" s="99">
        <f>SMALL('Team Data'!T2:T103,5)</f>
        <v>13.52</v>
      </c>
      <c r="D41" s="78">
        <f>INDEX('Team Data'!B$1:S$103,MATCH(B41,'Team Data'!B$1:B$103,0),18)</f>
        <v>0.56310679611650483</v>
      </c>
      <c r="E41" s="80" t="str">
        <f>INDEX('Team Data'!B$1:C$103,MATCH(B41,'Team Data'!B$1:B$103,0),2)</f>
        <v>Shiraz</v>
      </c>
      <c r="G41" s="75" t="str">
        <f t="array" ref="G41">INDEX('Team Data'!B$1:B$103,SMALL(IF('Team Data'!J$1:J$103=H41,ROW('Team Data'!J$1:J$103),""),IF(NOT(H41=H40),1,IF(NOT(H40=H39),2,IF(NOT(H39=H38),3,4)))),1)</f>
        <v>Fleur</v>
      </c>
      <c r="H41" s="99">
        <f>LARGE('Team Data'!J2:J103,5)</f>
        <v>3.2876712328767126</v>
      </c>
      <c r="I41" s="78">
        <f>INDEX('Team Data'!B$1:S$103,MATCH(G41,'Team Data'!B$1:B$103,0),18)</f>
        <v>0.55855855855855852</v>
      </c>
      <c r="J41" s="80" t="str">
        <f>INDEX('Team Data'!B$1:C$103,MATCH(G41,'Team Data'!B$1:B$103,0),2)</f>
        <v>Reisling</v>
      </c>
    </row>
    <row r="42" spans="2:10" x14ac:dyDescent="0.25">
      <c r="B42" s="75" t="str">
        <f t="array" ref="B42">INDEX('Team Data'!B$1:B$103,SMALL(IF('Team Data'!T$1:T$103=C42,ROW('Team Data'!T$1:T$103),""),IF(NOT(C42=C41),1,IF(NOT(C41=C40),2,IF(NOT(C40=C39),3,4)))),1)</f>
        <v>Juliet</v>
      </c>
      <c r="C42" s="99">
        <f>SMALL('Team Data'!T2:T103,6)</f>
        <v>13.625</v>
      </c>
      <c r="D42" s="78">
        <f>INDEX('Team Data'!B$1:S$103,MATCH(B42,'Team Data'!B$1:B$103,0),18)</f>
        <v>0.5625</v>
      </c>
      <c r="E42" s="80" t="str">
        <f>INDEX('Team Data'!B$1:C$103,MATCH(B42,'Team Data'!B$1:B$103,0),2)</f>
        <v>Reisling</v>
      </c>
      <c r="F42" s="139"/>
      <c r="G42" s="75" t="str">
        <f t="array" ref="G42">INDEX('Team Data'!B$1:B$103,SMALL(IF('Team Data'!J$1:J$103=H42,ROW('Team Data'!J$1:J$103),""),IF(NOT(H42=H41),1,IF(NOT(H41=H40),2,IF(NOT(H40=H39),3,4)))),1)</f>
        <v>Iona</v>
      </c>
      <c r="H42" s="99">
        <f>LARGE('Team Data'!J2:J103,6)</f>
        <v>3.2857142857142856</v>
      </c>
      <c r="I42" s="78">
        <f>INDEX('Team Data'!B$1:S$103,MATCH(G42,'Team Data'!B$1:B$103,0),18)</f>
        <v>0.580952380952381</v>
      </c>
      <c r="J42" s="80" t="str">
        <f>INDEX('Team Data'!B$1:C$103,MATCH(G42,'Team Data'!B$1:B$103,0),2)</f>
        <v>Reisling</v>
      </c>
    </row>
    <row r="43" spans="2:10" x14ac:dyDescent="0.25">
      <c r="B43" s="75" t="str">
        <f t="array" ref="B43">INDEX('Team Data'!B$1:B$103,SMALL(IF('Team Data'!T$1:T$103=C43,ROW('Team Data'!T$1:T$103),""),IF(NOT(C43=C42),1,IF(NOT(C42=C41),2,IF(NOT(C41=C40),3,4)))),1)</f>
        <v>Fleur</v>
      </c>
      <c r="C43" s="99">
        <f>SMALL('Team Data'!T2:T103,7)</f>
        <v>13.708333333333334</v>
      </c>
      <c r="D43" s="78">
        <f>INDEX('Team Data'!B$1:S$103,MATCH(B43,'Team Data'!B$1:B$103,0),18)</f>
        <v>0.55855855855855852</v>
      </c>
      <c r="E43" s="80" t="str">
        <f>INDEX('Team Data'!B$1:C$103,MATCH(B43,'Team Data'!B$1:B$103,0),2)</f>
        <v>Reisling</v>
      </c>
      <c r="G43" s="75" t="str">
        <f t="array" ref="G43">INDEX('Team Data'!B$1:B$103,SMALL(IF('Team Data'!J$1:J$103=H43,ROW('Team Data'!J$1:J$103),""),IF(NOT(H43=H42),1,IF(NOT(H42=H41),2,IF(NOT(H41=H40),3,4)))),1)</f>
        <v>Renee</v>
      </c>
      <c r="H43" s="99">
        <f>LARGE('Team Data'!J2:J103,7)</f>
        <v>3.2857142857142856</v>
      </c>
      <c r="I43" s="78">
        <f>INDEX('Team Data'!B$1:S$103,MATCH(G43,'Team Data'!B$1:B$103,0),18)</f>
        <v>0.54455445544554459</v>
      </c>
      <c r="J43" s="80" t="str">
        <f>INDEX('Team Data'!B$1:C$103,MATCH(G43,'Team Data'!B$1:B$103,0),2)</f>
        <v>Shiraz</v>
      </c>
    </row>
    <row r="44" spans="2:10" x14ac:dyDescent="0.25">
      <c r="B44" s="75" t="str">
        <f t="array" ref="B44">INDEX('Team Data'!B$1:B$103,SMALL(IF('Team Data'!T$1:T$103=C44,ROW('Team Data'!T$1:T$103),""),IF(NOT(C44=C43),1,IF(NOT(C43=C42),2,IF(NOT(C42=C41),3,4)))),1)</f>
        <v>Melodie</v>
      </c>
      <c r="C44" s="99">
        <f>SMALL('Team Data'!T2:T103,8)</f>
        <v>13.869565217391305</v>
      </c>
      <c r="D44" s="78">
        <f>INDEX('Team Data'!B$1:S$103,MATCH(B44,'Team Data'!B$1:B$103,0),18)</f>
        <v>0.55084745762711862</v>
      </c>
      <c r="E44" s="80" t="str">
        <f>INDEX('Team Data'!B$1:C$103,MATCH(B44,'Team Data'!B$1:B$103,0),2)</f>
        <v>Reisling</v>
      </c>
      <c r="G44" s="75" t="str">
        <f t="array" ref="G44">INDEX('Team Data'!B$1:B$103,SMALL(IF('Team Data'!J$1:J$103=H44,ROW('Team Data'!J$1:J$103),""),IF(NOT(H44=H43),1,IF(NOT(H43=H42),2,IF(NOT(H42=H41),3,4)))),1)</f>
        <v>Madeline</v>
      </c>
      <c r="H44" s="99">
        <f>LARGE('Team Data'!J2:J103,8)</f>
        <v>3.2857142857142856</v>
      </c>
      <c r="I44" s="78">
        <f>INDEX('Team Data'!B$1:S$103,MATCH(G44,'Team Data'!B$1:B$103,0),18)</f>
        <v>0.56910569105691056</v>
      </c>
      <c r="J44" s="80" t="str">
        <f>INDEX('Team Data'!B$1:C$103,MATCH(G44,'Team Data'!B$1:B$103,0),2)</f>
        <v>Reisling</v>
      </c>
    </row>
    <row r="45" spans="2:10" x14ac:dyDescent="0.25">
      <c r="B45" s="75" t="str">
        <f t="array" ref="B45">INDEX('Team Data'!B$1:B$103,SMALL(IF('Team Data'!T$1:T$103=C45,ROW('Team Data'!T$1:T$103),""),IF(NOT(C45=C44),1,IF(NOT(C44=C43),2,IF(NOT(C43=C42),3,4)))),1)</f>
        <v>Nevada</v>
      </c>
      <c r="C45" s="99">
        <f>SMALL('Team Data'!T2:T103,9)</f>
        <v>13.913043478260869</v>
      </c>
      <c r="D45" s="78">
        <f>INDEX('Team Data'!B$1:S$103,MATCH(B45,'Team Data'!B$1:B$103,0),18)</f>
        <v>0.50961538461538458</v>
      </c>
      <c r="E45" s="80" t="str">
        <f>INDEX('Team Data'!B$1:C$103,MATCH(B45,'Team Data'!B$1:B$103,0),2)</f>
        <v>Reisling</v>
      </c>
      <c r="G45" s="75" t="str">
        <f t="array" ref="G45">INDEX('Team Data'!B$1:B$103,SMALL(IF('Team Data'!J$1:J$103=H45,ROW('Team Data'!J$1:J$103),""),IF(NOT(H45=H44),1,IF(NOT(H44=H43),2,IF(NOT(H43=H42),3,4)))),1)</f>
        <v>Melodie</v>
      </c>
      <c r="H45" s="99">
        <f>LARGE('Team Data'!J2:J103,9)</f>
        <v>3.2857142857142856</v>
      </c>
      <c r="I45" s="78">
        <f>INDEX('Team Data'!B$1:S$103,MATCH(G45,'Team Data'!B$1:B$103,0),18)</f>
        <v>0.55084745762711862</v>
      </c>
      <c r="J45" s="80" t="str">
        <f>INDEX('Team Data'!B$1:C$103,MATCH(G45,'Team Data'!B$1:B$103,0),2)</f>
        <v>Reisling</v>
      </c>
    </row>
    <row r="46" spans="2:10" ht="15.75" thickBot="1" x14ac:dyDescent="0.3">
      <c r="B46" s="76" t="str">
        <f t="array" ref="B46">INDEX('Team Data'!B$1:B$103,SMALL(IF('Team Data'!T$1:T$103=C46,ROW('Team Data'!T$1:T$103),""),IF(NOT(C46=C45),1,IF(NOT(C45=C44),2,IF(NOT(C44=C43),3,4)))),1)</f>
        <v>Rowan</v>
      </c>
      <c r="C46" s="100">
        <f>SMALL('Team Data'!T2:T103,10)</f>
        <v>13.92</v>
      </c>
      <c r="D46" s="79">
        <f>INDEX('Team Data'!B$1:S$103,MATCH(B46,'Team Data'!B$1:B$103,0),18)</f>
        <v>0.59183673469387754</v>
      </c>
      <c r="E46" s="81" t="str">
        <f>INDEX('Team Data'!B$1:C$103,MATCH(B46,'Team Data'!B$1:B$103,0),2)</f>
        <v>Reisling</v>
      </c>
      <c r="G46" s="76" t="str">
        <f t="array" ref="G46">INDEX('Team Data'!B$1:B$103,SMALL(IF('Team Data'!J$1:J$103=H46,ROW('Team Data'!J$1:J$103),""),IF(NOT(H46=H45),1,IF(NOT(H45=H44),2,IF(NOT(H44=H43),3,4)))),1)</f>
        <v>Keelie</v>
      </c>
      <c r="H46" s="100">
        <f>LARGE('Team Data'!J2:J103,10)</f>
        <v>3.2</v>
      </c>
      <c r="I46" s="79">
        <f>INDEX('Team Data'!B$1:S$103,MATCH(G46,'Team Data'!B$1:B$103,0),18)</f>
        <v>0.55752212389380529</v>
      </c>
      <c r="J46" s="81" t="str">
        <f>INDEX('Team Data'!B$1:C$103,MATCH(G46,'Team Data'!B$1:B$103,0),2)</f>
        <v>Shiraz</v>
      </c>
    </row>
    <row r="47" spans="2:10" ht="15.75" thickBot="1" x14ac:dyDescent="0.3">
      <c r="B47" s="34"/>
      <c r="C47" s="44"/>
      <c r="D47" s="44"/>
      <c r="E47" s="35"/>
    </row>
    <row r="48" spans="2:10" ht="16.5" thickBot="1" x14ac:dyDescent="0.3">
      <c r="B48" s="159" t="s">
        <v>160</v>
      </c>
      <c r="C48" s="160"/>
      <c r="D48" s="160"/>
      <c r="E48" s="161"/>
      <c r="G48" s="159" t="s">
        <v>142</v>
      </c>
      <c r="H48" s="160"/>
      <c r="I48" s="160"/>
      <c r="J48" s="161"/>
    </row>
    <row r="49" spans="2:10" ht="30.75" thickBot="1" x14ac:dyDescent="0.3">
      <c r="B49" s="134" t="s">
        <v>128</v>
      </c>
      <c r="C49" s="135" t="s">
        <v>141</v>
      </c>
      <c r="D49" s="136" t="s">
        <v>129</v>
      </c>
      <c r="E49" s="137" t="s">
        <v>137</v>
      </c>
      <c r="G49" s="134" t="s">
        <v>128</v>
      </c>
      <c r="H49" s="135" t="s">
        <v>140</v>
      </c>
      <c r="I49" s="136" t="s">
        <v>129</v>
      </c>
      <c r="J49" s="137" t="s">
        <v>137</v>
      </c>
    </row>
    <row r="50" spans="2:10" x14ac:dyDescent="0.25">
      <c r="B50" s="130" t="str">
        <f t="array" ref="B50">INDEX('Team Data'!B$1:B$103,SMALL(IF('Team Data'!T$1:T$103=C50,ROW('Team Data'!T$1:T$103),""),IF(NOT(C50=C49),1,IF(NOT(C49=C48),2,IF(NOT(C48=C47),3,4)))),1)</f>
        <v>Medge</v>
      </c>
      <c r="C50" s="131">
        <f>LARGE('Team Data'!T$2:T$103,1)</f>
        <v>26.133333333333333</v>
      </c>
      <c r="D50" s="132">
        <f>INDEX('Team Data'!B$1:S$103,MATCH(B50,'Team Data'!B$1:B$103,0),18)</f>
        <v>0.5757575757575758</v>
      </c>
      <c r="E50" s="133" t="str">
        <f>INDEX('Team Data'!B$1:C$103,MATCH(B50,'Team Data'!B$1:B$103,0),2)</f>
        <v>Shiraz</v>
      </c>
      <c r="G50" s="130" t="str">
        <f t="array" ref="G50">INDEX('Team Data'!B$1:B$103,SMALL(IF('Team Data'!J$1:J$103=H50,ROW('Team Data'!J$1:J$103),""),IF(NOT(H50=H49),1,IF(NOT(H49=H48),2,IF(NOT(H48=H45),3,4)))),1)</f>
        <v>Sierra</v>
      </c>
      <c r="H50" s="131">
        <f>SMALL('Team Data'!J$2:J$103,1)</f>
        <v>1.8072289156626504</v>
      </c>
      <c r="I50" s="132">
        <f>INDEX('Team Data'!B$1:S$103,MATCH(G50,'Team Data'!B$1:B$103,0),18)</f>
        <v>0.52884615384615385</v>
      </c>
      <c r="J50" s="133" t="str">
        <f>INDEX('Team Data'!B$1:C$103,MATCH(G50,'Team Data'!B$1:B$103,0),2)</f>
        <v>Shiraz</v>
      </c>
    </row>
    <row r="51" spans="2:10" x14ac:dyDescent="0.25">
      <c r="B51" s="11" t="str">
        <f t="array" ref="B51">INDEX('Team Data'!B$1:B$103,SMALL(IF('Team Data'!T$1:T$103=C51,ROW('Team Data'!T$1:T$103),""),IF(NOT(C51=C50),1,IF(NOT(C50=C49),2,IF(NOT(C49=C48),3,4)))),1)</f>
        <v>Hoyt</v>
      </c>
      <c r="C51" s="97">
        <f>LARGE('Team Data'!T$2:T$103,2)</f>
        <v>25.6</v>
      </c>
      <c r="D51" s="32">
        <f>INDEX('Team Data'!B$1:S$103,MATCH(B51,'Team Data'!B$1:B$103,0),18)</f>
        <v>0.53703703703703709</v>
      </c>
      <c r="E51" s="45" t="str">
        <f>INDEX('Team Data'!B$1:C$103,MATCH(B51,'Team Data'!B$1:B$103,0),2)</f>
        <v>Reisling</v>
      </c>
      <c r="G51" s="11" t="str">
        <f t="array" ref="G51">INDEX('Team Data'!B$1:B$103,SMALL(IF('Team Data'!J$1:J$103=H51,ROW('Team Data'!J$1:J$103),""),IF(NOT(H51=H50),1,IF(NOT(H50=H49),2,IF(NOT(H49=H48),3,4)))),1)</f>
        <v>Calista</v>
      </c>
      <c r="H51" s="97">
        <f>SMALL('Team Data'!J$2:J$103,2)</f>
        <v>1.875</v>
      </c>
      <c r="I51" s="32">
        <f>INDEX('Team Data'!B$1:S$103,MATCH(G51,'Team Data'!B$1:B$103,0),18)</f>
        <v>0.54545454545454541</v>
      </c>
      <c r="J51" s="45" t="str">
        <f>INDEX('Team Data'!B$1:C$103,MATCH(G51,'Team Data'!B$1:B$103,0),2)</f>
        <v>Shiraz</v>
      </c>
    </row>
    <row r="52" spans="2:10" x14ac:dyDescent="0.25">
      <c r="B52" s="11" t="str">
        <f t="array" ref="B52">INDEX('Team Data'!B$1:B$103,SMALL(IF('Team Data'!T$1:T$103=C52,ROW('Team Data'!T$1:T$103),""),IF(NOT(C52=C51),1,IF(NOT(C51=C50),2,IF(NOT(C50=C49),3,4)))),1)</f>
        <v>Jeremy</v>
      </c>
      <c r="C52" s="97">
        <f>LARGE('Team Data'!T$2:T$103,3)</f>
        <v>25.6</v>
      </c>
      <c r="D52" s="32">
        <f>INDEX('Team Data'!B$1:S$103,MATCH(B52,'Team Data'!B$1:B$103,0),18)</f>
        <v>0.53703703703703709</v>
      </c>
      <c r="E52" s="45" t="str">
        <f>INDEX('Team Data'!B$1:C$103,MATCH(B52,'Team Data'!B$1:B$103,0),2)</f>
        <v>Reisling</v>
      </c>
      <c r="G52" s="11" t="str">
        <f t="array" ref="G52">INDEX('Team Data'!B$1:B$103,SMALL(IF('Team Data'!J$1:J$103=H52,ROW('Team Data'!J$1:J$103),""),IF(NOT(H52=H51),1,IF(NOT(H51=H50),2,IF(NOT(H50=H49),3,4)))),1)</f>
        <v>Britanney</v>
      </c>
      <c r="H52" s="97">
        <f>SMALL('Team Data'!J$2:J$103,3)</f>
        <v>1.8987341772151898</v>
      </c>
      <c r="I52" s="32">
        <f>INDEX('Team Data'!B$1:S$103,MATCH(G52,'Team Data'!B$1:B$103,0),18)</f>
        <v>0.56999999999999995</v>
      </c>
      <c r="J52" s="45" t="str">
        <f>INDEX('Team Data'!B$1:C$103,MATCH(G52,'Team Data'!B$1:B$103,0),2)</f>
        <v>Reisling</v>
      </c>
    </row>
    <row r="53" spans="2:10" x14ac:dyDescent="0.25">
      <c r="B53" s="11" t="str">
        <f t="array" ref="B53">INDEX('Team Data'!B$1:B$103,SMALL(IF('Team Data'!T$1:T$103=C53,ROW('Team Data'!T$1:T$103),""),IF(NOT(C53=C52),1,IF(NOT(C52=C51),2,IF(NOT(C51=C50),3,4)))),1)</f>
        <v>Giselle</v>
      </c>
      <c r="C53" s="97">
        <f>LARGE('Team Data'!T$2:T$103,4)</f>
        <v>25</v>
      </c>
      <c r="D53" s="32">
        <f>INDEX('Team Data'!B$1:S$103,MATCH(B53,'Team Data'!B$1:B$103,0),18)</f>
        <v>0.53913043478260869</v>
      </c>
      <c r="E53" s="45" t="str">
        <f>INDEX('Team Data'!B$1:C$103,MATCH(B53,'Team Data'!B$1:B$103,0),2)</f>
        <v>Shiraz</v>
      </c>
      <c r="G53" s="11" t="str">
        <f t="array" ref="G53">INDEX('Team Data'!B$1:B$103,SMALL(IF('Team Data'!J$1:J$103=H53,ROW('Team Data'!J$1:J$103),""),IF(NOT(H53=H52),1,IF(NOT(H52=H51),2,IF(NOT(H51=H50),3,4)))),1)</f>
        <v>Medge</v>
      </c>
      <c r="H53" s="97">
        <f>SMALL('Team Data'!J$2:J$103,4)</f>
        <v>1.8987341772151898</v>
      </c>
      <c r="I53" s="32">
        <f>INDEX('Team Data'!B$1:S$103,MATCH(G53,'Team Data'!B$1:B$103,0),18)</f>
        <v>0.5757575757575758</v>
      </c>
      <c r="J53" s="45" t="str">
        <f>INDEX('Team Data'!B$1:C$103,MATCH(G53,'Team Data'!B$1:B$103,0),2)</f>
        <v>Shiraz</v>
      </c>
    </row>
    <row r="54" spans="2:10" x14ac:dyDescent="0.25">
      <c r="B54" s="11" t="str">
        <f t="array" ref="B54">INDEX('Team Data'!B$1:B$103,SMALL(IF('Team Data'!T$1:T$103=C54,ROW('Team Data'!T$1:T$103),""),IF(NOT(C54=C53),1,IF(NOT(C53=C52),2,IF(NOT(C52=C51),3,4)))),1)</f>
        <v>Hermione</v>
      </c>
      <c r="C54" s="97">
        <f>LARGE('Team Data'!T$2:T$103,5)</f>
        <v>24.875</v>
      </c>
      <c r="D54" s="32">
        <f>INDEX('Team Data'!B$1:S$103,MATCH(B54,'Team Data'!B$1:B$103,0),18)</f>
        <v>0.57692307692307687</v>
      </c>
      <c r="E54" s="45" t="str">
        <f>INDEX('Team Data'!B$1:C$103,MATCH(B54,'Team Data'!B$1:B$103,0),2)</f>
        <v>Shiraz</v>
      </c>
      <c r="G54" s="11" t="str">
        <f t="array" ref="G54">INDEX('Team Data'!B$1:B$103,SMALL(IF('Team Data'!J$1:J$103=H54,ROW('Team Data'!J$1:J$103),""),IF(NOT(H54=H53),1,IF(NOT(H53=H52),2,IF(NOT(H52=H51),3,4)))),1)</f>
        <v>Quin</v>
      </c>
      <c r="H54" s="97">
        <f>SMALL('Team Data'!J$2:J$103,5)</f>
        <v>1.9277108433734937</v>
      </c>
      <c r="I54" s="32">
        <f>INDEX('Team Data'!B$1:S$103,MATCH(G54,'Team Data'!B$1:B$103,0),18)</f>
        <v>0.54205607476635509</v>
      </c>
      <c r="J54" s="45" t="str">
        <f>INDEX('Team Data'!B$1:C$103,MATCH(G54,'Team Data'!B$1:B$103,0),2)</f>
        <v>Shiraz</v>
      </c>
    </row>
    <row r="55" spans="2:10" x14ac:dyDescent="0.25">
      <c r="B55" s="11" t="str">
        <f t="array" ref="B55">INDEX('Team Data'!B$1:B$103,SMALL(IF('Team Data'!T$1:T$103=C55,ROW('Team Data'!T$1:T$103),""),IF(NOT(C55=C54),1,IF(NOT(C54=C53),2,IF(NOT(C53=C52),3,4)))),1)</f>
        <v>Portia</v>
      </c>
      <c r="C55" s="97">
        <f>LARGE('Team Data'!T$2:T$103,6)</f>
        <v>24.75</v>
      </c>
      <c r="D55" s="32">
        <f>INDEX('Team Data'!B$1:S$103,MATCH(B55,'Team Data'!B$1:B$103,0),18)</f>
        <v>0.5714285714285714</v>
      </c>
      <c r="E55" s="45" t="str">
        <f>INDEX('Team Data'!B$1:C$103,MATCH(B55,'Team Data'!B$1:B$103,0),2)</f>
        <v>Shiraz</v>
      </c>
      <c r="G55" s="11" t="str">
        <f t="array" ref="G55">INDEX('Team Data'!B$1:B$103,SMALL(IF('Team Data'!J$1:J$103=H55,ROW('Team Data'!J$1:J$103),""),IF(NOT(H55=H54),1,IF(NOT(H54=H53),2,IF(NOT(H53=H52),3,4)))),1)</f>
        <v>Frances</v>
      </c>
      <c r="H55" s="97">
        <f>SMALL('Team Data'!J$2:J$103,6)</f>
        <v>1.9277108433734937</v>
      </c>
      <c r="I55" s="32">
        <f>INDEX('Team Data'!B$1:S$103,MATCH(G55,'Team Data'!B$1:B$103,0),18)</f>
        <v>0.57657657657657657</v>
      </c>
      <c r="J55" s="45" t="str">
        <f>INDEX('Team Data'!B$1:C$103,MATCH(G55,'Team Data'!B$1:B$103,0),2)</f>
        <v>Reisling</v>
      </c>
    </row>
    <row r="56" spans="2:10" x14ac:dyDescent="0.25">
      <c r="B56" s="11" t="str">
        <f t="array" ref="B56">INDEX('Team Data'!B$1:B$103,SMALL(IF('Team Data'!T$1:T$103=C56,ROW('Team Data'!T$1:T$103),""),IF(NOT(C56=C55),1,IF(NOT(C55=C54),2,IF(NOT(C54=C53),3,4)))),1)</f>
        <v>Quin</v>
      </c>
      <c r="C56" s="97">
        <f>LARGE('Team Data'!T$2:T$103,7)</f>
        <v>24.6875</v>
      </c>
      <c r="D56" s="32">
        <f>INDEX('Team Data'!B$1:S$103,MATCH(B56,'Team Data'!B$1:B$103,0),18)</f>
        <v>0.54205607476635509</v>
      </c>
      <c r="E56" s="45" t="str">
        <f>INDEX('Team Data'!B$1:C$103,MATCH(B56,'Team Data'!B$1:B$103,0),2)</f>
        <v>Shiraz</v>
      </c>
      <c r="G56" s="11" t="str">
        <f t="array" ref="G56">INDEX('Team Data'!B$1:B$103,SMALL(IF('Team Data'!J$1:J$103=H56,ROW('Team Data'!J$1:J$103),""),IF(NOT(H56=H55),1,IF(NOT(H55=H54),2,IF(NOT(H54=H53),3,4)))),1)</f>
        <v>Kirestin</v>
      </c>
      <c r="H56" s="97">
        <f>SMALL('Team Data'!J$2:J$103,7)</f>
        <v>1.9277108433734937</v>
      </c>
      <c r="I56" s="32">
        <f>INDEX('Team Data'!B$1:S$103,MATCH(G56,'Team Data'!B$1:B$103,0),18)</f>
        <v>0.580952380952381</v>
      </c>
      <c r="J56" s="45" t="str">
        <f>INDEX('Team Data'!B$1:C$103,MATCH(G56,'Team Data'!B$1:B$103,0),2)</f>
        <v>Shiraz</v>
      </c>
    </row>
    <row r="57" spans="2:10" x14ac:dyDescent="0.25">
      <c r="B57" s="11" t="str">
        <f t="array" ref="B57">INDEX('Team Data'!B$1:B$103,SMALL(IF('Team Data'!T$1:T$103=C57,ROW('Team Data'!T$1:T$103),""),IF(NOT(C57=C56),1,IF(NOT(C56=C55),2,IF(NOT(C55=C54),3,4)))),1)</f>
        <v>Madeson</v>
      </c>
      <c r="C57" s="97">
        <f>LARGE('Team Data'!T$2:T$103,8)</f>
        <v>24.625</v>
      </c>
      <c r="D57" s="32">
        <f>INDEX('Team Data'!B$1:S$103,MATCH(B57,'Team Data'!B$1:B$103,0),18)</f>
        <v>0.59459459459459463</v>
      </c>
      <c r="E57" s="45" t="str">
        <f>INDEX('Team Data'!B$1:C$103,MATCH(B57,'Team Data'!B$1:B$103,0),2)</f>
        <v>Shiraz</v>
      </c>
      <c r="G57" s="11" t="str">
        <f t="array" ref="G57">INDEX('Team Data'!B$1:B$103,SMALL(IF('Team Data'!J$1:J$103=H57,ROW('Team Data'!J$1:J$103),""),IF(NOT(H57=H56),1,IF(NOT(H56=H55),2,IF(NOT(H55=H54),3,4)))),1)</f>
        <v>Flavia</v>
      </c>
      <c r="H57" s="97">
        <f>SMALL('Team Data'!J$2:J$103,8)</f>
        <v>1.9736842105263159</v>
      </c>
      <c r="I57" s="32">
        <f>INDEX('Team Data'!B$1:S$103,MATCH(G57,'Team Data'!B$1:B$103,0),18)</f>
        <v>0.57547169811320753</v>
      </c>
      <c r="J57" s="45" t="str">
        <f>INDEX('Team Data'!B$1:C$103,MATCH(G57,'Team Data'!B$1:B$103,0),2)</f>
        <v>Reisling</v>
      </c>
    </row>
    <row r="58" spans="2:10" x14ac:dyDescent="0.25">
      <c r="B58" s="11" t="str">
        <f t="array" ref="B58">INDEX('Team Data'!B$1:B$103,SMALL(IF('Team Data'!T$1:T$103=C58,ROW('Team Data'!T$1:T$103),""),IF(NOT(C58=C57),1,IF(NOT(C57=C56),2,IF(NOT(C56=C55),3,4)))),1)</f>
        <v>Frances</v>
      </c>
      <c r="C58" s="97">
        <f>LARGE('Team Data'!T$2:T$103,9)</f>
        <v>24.625</v>
      </c>
      <c r="D58" s="32">
        <f>INDEX('Team Data'!B$1:S$103,MATCH(B58,'Team Data'!B$1:B$103,0),18)</f>
        <v>0.57657657657657657</v>
      </c>
      <c r="E58" s="45" t="str">
        <f>INDEX('Team Data'!B$1:C$103,MATCH(B58,'Team Data'!B$1:B$103,0),2)</f>
        <v>Reisling</v>
      </c>
      <c r="G58" s="11" t="str">
        <f t="array" ref="G58">INDEX('Team Data'!B$1:B$103,SMALL(IF('Team Data'!J$1:J$103=H58,ROW('Team Data'!J$1:J$103),""),IF(NOT(H58=H57),1,IF(NOT(H57=H56),2,IF(NOT(H56=H55),3,4)))),1)</f>
        <v>Illana</v>
      </c>
      <c r="H58" s="97">
        <f>SMALL('Team Data'!J$2:J$103,9)</f>
        <v>1.9736842105263159</v>
      </c>
      <c r="I58" s="32">
        <f>INDEX('Team Data'!B$1:S$103,MATCH(G58,'Team Data'!B$1:B$103,0),18)</f>
        <v>0.5544554455445545</v>
      </c>
      <c r="J58" s="45" t="str">
        <f>INDEX('Team Data'!B$1:C$103,MATCH(G58,'Team Data'!B$1:B$103,0),2)</f>
        <v>Reisling</v>
      </c>
    </row>
    <row r="59" spans="2:10" ht="15.75" thickBot="1" x14ac:dyDescent="0.3">
      <c r="B59" s="12" t="str">
        <f t="array" ref="B59">INDEX('Team Data'!B$1:B$103,SMALL(IF('Team Data'!T$1:T$103=C59,ROW('Team Data'!T$1:T$103),""),IF(NOT(C59=C58),1,IF(NOT(C58=C57),2,IF(NOT(C57=C56),3,4)))),1)</f>
        <v>Serena</v>
      </c>
      <c r="C59" s="98">
        <f>LARGE('Team Data'!T$2:T$103,10)</f>
        <v>23.933333333333334</v>
      </c>
      <c r="D59" s="33">
        <f>INDEX('Team Data'!B$1:S$103,MATCH(B59,'Team Data'!B$1:B$103,0),18)</f>
        <v>0.58490566037735847</v>
      </c>
      <c r="E59" s="46" t="str">
        <f>INDEX('Team Data'!B$1:C$103,MATCH(B59,'Team Data'!B$1:B$103,0),2)</f>
        <v>Reisling</v>
      </c>
      <c r="G59" s="12" t="str">
        <f t="array" ref="G59">INDEX('Team Data'!B$1:B$103,SMALL(IF('Team Data'!J$1:J$103=H59,ROW('Team Data'!J$1:J$103),""),IF(NOT(H59=H58),1,IF(NOT(H58=H57),2,IF(NOT(H57=H56),3,4)))),1)</f>
        <v>Hoyt</v>
      </c>
      <c r="H59" s="98">
        <f>SMALL('Team Data'!J$2:J$103,10)</f>
        <v>1.9736842105263159</v>
      </c>
      <c r="I59" s="33">
        <f>INDEX('Team Data'!B$1:S$103,MATCH(G59,'Team Data'!B$1:B$103,0),18)</f>
        <v>0.53703703703703709</v>
      </c>
      <c r="J59" s="46" t="str">
        <f>INDEX('Team Data'!B$1:C$103,MATCH(G59,'Team Data'!B$1:B$103,0),2)</f>
        <v>Reisling</v>
      </c>
    </row>
    <row r="60" spans="2:10" x14ac:dyDescent="0.25">
      <c r="E60" s="9"/>
    </row>
    <row r="61" spans="2:10" x14ac:dyDescent="0.25">
      <c r="E61" s="9"/>
    </row>
    <row r="62" spans="2:10" x14ac:dyDescent="0.25">
      <c r="E62" s="9"/>
    </row>
    <row r="63" spans="2:10" x14ac:dyDescent="0.25">
      <c r="E63" s="9"/>
    </row>
    <row r="64" spans="2:10" x14ac:dyDescent="0.25">
      <c r="E64" s="9"/>
    </row>
    <row r="65" spans="5:5" x14ac:dyDescent="0.25">
      <c r="E65" s="9"/>
    </row>
    <row r="66" spans="5:5" x14ac:dyDescent="0.25">
      <c r="E66" s="9"/>
    </row>
    <row r="67" spans="5:5" x14ac:dyDescent="0.25">
      <c r="E67" s="9"/>
    </row>
  </sheetData>
  <sortState ref="J30:J39">
    <sortCondition descending="1" ref="J30:J39"/>
  </sortState>
  <mergeCells count="6">
    <mergeCell ref="C3:D3"/>
    <mergeCell ref="B35:E35"/>
    <mergeCell ref="B48:E48"/>
    <mergeCell ref="C1:G1"/>
    <mergeCell ref="G35:J35"/>
    <mergeCell ref="G48:J48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360" verticalDpi="360" r:id="rId1"/>
  <rowBreaks count="1" manualBreakCount="1">
    <brk id="34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4"/>
  <sheetViews>
    <sheetView tabSelected="1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T2" sqref="T2"/>
    </sheetView>
  </sheetViews>
  <sheetFormatPr defaultRowHeight="12.75" x14ac:dyDescent="0.2"/>
  <cols>
    <col min="1" max="1" width="8.140625" style="2" customWidth="1"/>
    <col min="2" max="2" width="17.28515625" style="2" customWidth="1"/>
    <col min="3" max="3" width="10.140625" style="2" customWidth="1"/>
    <col min="4" max="4" width="11.140625" style="2" customWidth="1"/>
    <col min="5" max="5" width="12.42578125" style="2" customWidth="1"/>
    <col min="6" max="6" width="13.7109375" style="2" customWidth="1"/>
    <col min="7" max="7" width="4.7109375" style="2" customWidth="1"/>
    <col min="8" max="8" width="17.5703125" style="2" customWidth="1"/>
    <col min="9" max="9" width="6.85546875" style="2" customWidth="1"/>
    <col min="10" max="10" width="16.5703125" style="2" customWidth="1"/>
    <col min="11" max="11" width="10.28515625" style="2" customWidth="1"/>
    <col min="12" max="12" width="20.140625" style="2" customWidth="1"/>
    <col min="13" max="13" width="6.28515625" style="2" customWidth="1"/>
    <col min="14" max="14" width="10.85546875" style="2" customWidth="1"/>
    <col min="15" max="15" width="6.5703125" style="2" customWidth="1"/>
    <col min="16" max="16" width="5.28515625" style="2" customWidth="1"/>
    <col min="17" max="17" width="6" style="2" customWidth="1"/>
    <col min="18" max="18" width="6.42578125" style="2" bestFit="1" customWidth="1"/>
    <col min="19" max="19" width="9" style="2" customWidth="1"/>
    <col min="20" max="20" width="15.42578125" style="2" bestFit="1" customWidth="1"/>
    <col min="21" max="16384" width="9.140625" style="2"/>
  </cols>
  <sheetData>
    <row r="1" spans="1:2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129</v>
      </c>
      <c r="T1" s="1" t="s">
        <v>141</v>
      </c>
    </row>
    <row r="2" spans="1:22" x14ac:dyDescent="0.2">
      <c r="A2" s="2" t="s">
        <v>147</v>
      </c>
      <c r="B2" s="2" t="s">
        <v>72</v>
      </c>
      <c r="C2" s="2" t="s">
        <v>131</v>
      </c>
      <c r="D2" s="3">
        <v>41791</v>
      </c>
      <c r="E2" s="4" t="s">
        <v>26</v>
      </c>
      <c r="F2" s="5">
        <v>7.5</v>
      </c>
      <c r="G2" s="5">
        <v>6.5</v>
      </c>
      <c r="H2" s="5">
        <v>0.70000000000000018</v>
      </c>
      <c r="I2" s="2">
        <v>19</v>
      </c>
      <c r="J2" s="6">
        <f t="shared" ref="J2:J33" si="0">I2/F2</f>
        <v>2.5333333333333332</v>
      </c>
      <c r="K2" s="2">
        <v>646</v>
      </c>
      <c r="L2" s="6">
        <f t="shared" ref="L2:L33" si="1">K2/F2</f>
        <v>86.13333333333334</v>
      </c>
      <c r="M2" s="7">
        <v>323</v>
      </c>
      <c r="N2" s="2">
        <v>20</v>
      </c>
      <c r="O2" s="2">
        <v>35</v>
      </c>
      <c r="P2" s="2">
        <v>34</v>
      </c>
      <c r="Q2" s="2">
        <v>15</v>
      </c>
      <c r="R2" s="7">
        <f t="shared" ref="R2:R33" si="2">SUM(N2:Q2)</f>
        <v>104</v>
      </c>
      <c r="S2" s="77">
        <f t="shared" ref="S2:S33" si="3">SUM(N2:O2)/R2</f>
        <v>0.52884615384615385</v>
      </c>
      <c r="T2" s="82">
        <f>M2/I2</f>
        <v>17</v>
      </c>
      <c r="U2" s="8"/>
      <c r="V2" s="2" t="s">
        <v>20</v>
      </c>
    </row>
    <row r="3" spans="1:22" x14ac:dyDescent="0.2">
      <c r="A3" s="2" t="s">
        <v>147</v>
      </c>
      <c r="B3" s="2" t="s">
        <v>35</v>
      </c>
      <c r="C3" s="2" t="s">
        <v>130</v>
      </c>
      <c r="D3" s="3">
        <v>41791</v>
      </c>
      <c r="E3" s="4" t="s">
        <v>32</v>
      </c>
      <c r="F3" s="5">
        <v>8</v>
      </c>
      <c r="G3" s="5">
        <v>7</v>
      </c>
      <c r="H3" s="5">
        <v>0.3</v>
      </c>
      <c r="I3" s="2">
        <v>16</v>
      </c>
      <c r="J3" s="6">
        <f t="shared" si="0"/>
        <v>2</v>
      </c>
      <c r="K3" s="2">
        <v>544</v>
      </c>
      <c r="L3" s="6">
        <f t="shared" si="1"/>
        <v>68</v>
      </c>
      <c r="M3" s="7">
        <v>310</v>
      </c>
      <c r="N3" s="2">
        <v>29</v>
      </c>
      <c r="O3" s="2">
        <v>32</v>
      </c>
      <c r="P3" s="2">
        <v>30</v>
      </c>
      <c r="Q3" s="2">
        <v>11</v>
      </c>
      <c r="R3" s="7">
        <f t="shared" si="2"/>
        <v>102</v>
      </c>
      <c r="S3" s="77">
        <f t="shared" si="3"/>
        <v>0.59803921568627449</v>
      </c>
      <c r="T3" s="82">
        <f t="shared" ref="T3:T66" si="4">M3/I3</f>
        <v>19.375</v>
      </c>
      <c r="U3" s="8"/>
    </row>
    <row r="4" spans="1:22" x14ac:dyDescent="0.2">
      <c r="A4" s="2" t="s">
        <v>147</v>
      </c>
      <c r="B4" s="2" t="s">
        <v>81</v>
      </c>
      <c r="C4" s="2" t="s">
        <v>130</v>
      </c>
      <c r="D4" s="3">
        <v>41791</v>
      </c>
      <c r="E4" s="4" t="s">
        <v>32</v>
      </c>
      <c r="F4" s="5">
        <v>7.5</v>
      </c>
      <c r="G4" s="5">
        <v>6.5</v>
      </c>
      <c r="H4" s="5">
        <v>0.3</v>
      </c>
      <c r="I4" s="2">
        <v>20</v>
      </c>
      <c r="J4" s="6">
        <f t="shared" si="0"/>
        <v>2.6666666666666665</v>
      </c>
      <c r="K4" s="2">
        <v>680</v>
      </c>
      <c r="L4" s="6">
        <f t="shared" si="1"/>
        <v>90.666666666666671</v>
      </c>
      <c r="M4" s="7">
        <v>394</v>
      </c>
      <c r="N4" s="2">
        <v>30</v>
      </c>
      <c r="O4" s="2">
        <v>38</v>
      </c>
      <c r="P4" s="2">
        <v>35</v>
      </c>
      <c r="Q4" s="2">
        <v>13</v>
      </c>
      <c r="R4" s="7">
        <f t="shared" si="2"/>
        <v>116</v>
      </c>
      <c r="S4" s="77">
        <f t="shared" si="3"/>
        <v>0.58620689655172409</v>
      </c>
      <c r="T4" s="82">
        <f t="shared" si="4"/>
        <v>19.7</v>
      </c>
      <c r="U4" s="8"/>
    </row>
    <row r="5" spans="1:22" x14ac:dyDescent="0.2">
      <c r="A5" s="2" t="s">
        <v>147</v>
      </c>
      <c r="B5" s="2" t="s">
        <v>104</v>
      </c>
      <c r="C5" s="2" t="s">
        <v>131</v>
      </c>
      <c r="D5" s="3">
        <v>41791</v>
      </c>
      <c r="E5" s="4" t="s">
        <v>39</v>
      </c>
      <c r="F5" s="5">
        <v>8</v>
      </c>
      <c r="G5" s="5">
        <v>7</v>
      </c>
      <c r="H5" s="5">
        <v>0.8</v>
      </c>
      <c r="I5" s="2">
        <v>24</v>
      </c>
      <c r="J5" s="6">
        <f t="shared" si="0"/>
        <v>3</v>
      </c>
      <c r="K5" s="2">
        <v>816</v>
      </c>
      <c r="L5" s="6">
        <f t="shared" si="1"/>
        <v>102</v>
      </c>
      <c r="M5" s="7">
        <v>321</v>
      </c>
      <c r="N5" s="2">
        <v>27</v>
      </c>
      <c r="O5" s="2">
        <v>32</v>
      </c>
      <c r="P5" s="2">
        <v>40</v>
      </c>
      <c r="Q5" s="2">
        <v>14</v>
      </c>
      <c r="R5" s="7">
        <f t="shared" si="2"/>
        <v>113</v>
      </c>
      <c r="S5" s="77">
        <f t="shared" si="3"/>
        <v>0.52212389380530977</v>
      </c>
      <c r="T5" s="82">
        <f t="shared" si="4"/>
        <v>13.375</v>
      </c>
      <c r="U5" s="8"/>
    </row>
    <row r="6" spans="1:22" x14ac:dyDescent="0.2">
      <c r="A6" s="2" t="s">
        <v>147</v>
      </c>
      <c r="B6" s="2" t="s">
        <v>29</v>
      </c>
      <c r="C6" s="2" t="s">
        <v>130</v>
      </c>
      <c r="D6" s="3">
        <v>41791</v>
      </c>
      <c r="E6" s="4" t="s">
        <v>30</v>
      </c>
      <c r="F6" s="5">
        <v>7.6</v>
      </c>
      <c r="G6" s="5">
        <v>6.6</v>
      </c>
      <c r="H6" s="5">
        <v>0.5</v>
      </c>
      <c r="I6" s="2">
        <v>15</v>
      </c>
      <c r="J6" s="6">
        <f t="shared" si="0"/>
        <v>1.9736842105263159</v>
      </c>
      <c r="K6" s="2">
        <v>510</v>
      </c>
      <c r="L6" s="6">
        <f t="shared" si="1"/>
        <v>67.10526315789474</v>
      </c>
      <c r="M6" s="7">
        <v>302</v>
      </c>
      <c r="N6" s="2">
        <v>24</v>
      </c>
      <c r="O6" s="2">
        <v>37</v>
      </c>
      <c r="P6" s="2">
        <v>33</v>
      </c>
      <c r="Q6" s="2">
        <v>12</v>
      </c>
      <c r="R6" s="7">
        <f t="shared" si="2"/>
        <v>106</v>
      </c>
      <c r="S6" s="77">
        <f t="shared" si="3"/>
        <v>0.57547169811320753</v>
      </c>
      <c r="T6" s="82">
        <f t="shared" si="4"/>
        <v>20.133333333333333</v>
      </c>
      <c r="U6" s="8"/>
    </row>
    <row r="7" spans="1:22" x14ac:dyDescent="0.2">
      <c r="A7" s="2" t="s">
        <v>147</v>
      </c>
      <c r="B7" s="2" t="s">
        <v>83</v>
      </c>
      <c r="C7" s="2" t="s">
        <v>131</v>
      </c>
      <c r="D7" s="3">
        <v>41791</v>
      </c>
      <c r="E7" s="4" t="s">
        <v>26</v>
      </c>
      <c r="F7" s="5">
        <v>7</v>
      </c>
      <c r="G7" s="5">
        <v>6</v>
      </c>
      <c r="H7" s="5">
        <v>0.70000000000000018</v>
      </c>
      <c r="I7" s="2">
        <v>19</v>
      </c>
      <c r="J7" s="6">
        <f t="shared" si="0"/>
        <v>2.7142857142857144</v>
      </c>
      <c r="K7" s="2">
        <v>646</v>
      </c>
      <c r="L7" s="6">
        <f t="shared" si="1"/>
        <v>92.285714285714292</v>
      </c>
      <c r="M7" s="7">
        <v>380</v>
      </c>
      <c r="N7" s="2">
        <v>21</v>
      </c>
      <c r="O7" s="2">
        <v>32</v>
      </c>
      <c r="P7" s="2">
        <v>33</v>
      </c>
      <c r="Q7" s="2">
        <v>11</v>
      </c>
      <c r="R7" s="7">
        <f t="shared" si="2"/>
        <v>97</v>
      </c>
      <c r="S7" s="77">
        <f t="shared" si="3"/>
        <v>0.54639175257731953</v>
      </c>
      <c r="T7" s="82">
        <f t="shared" si="4"/>
        <v>20</v>
      </c>
      <c r="U7" s="8"/>
    </row>
    <row r="8" spans="1:22" x14ac:dyDescent="0.2">
      <c r="A8" s="2" t="s">
        <v>147</v>
      </c>
      <c r="B8" s="2" t="s">
        <v>113</v>
      </c>
      <c r="C8" s="2" t="s">
        <v>130</v>
      </c>
      <c r="D8" s="3">
        <v>41791</v>
      </c>
      <c r="E8" s="4" t="s">
        <v>23</v>
      </c>
      <c r="F8" s="5">
        <v>7.3</v>
      </c>
      <c r="G8" s="5">
        <v>6.3</v>
      </c>
      <c r="H8" s="5">
        <v>0.2</v>
      </c>
      <c r="I8" s="2">
        <v>23</v>
      </c>
      <c r="J8" s="6">
        <f t="shared" si="0"/>
        <v>3.1506849315068495</v>
      </c>
      <c r="K8" s="2">
        <v>782</v>
      </c>
      <c r="L8" s="6">
        <f t="shared" si="1"/>
        <v>107.12328767123287</v>
      </c>
      <c r="M8" s="7">
        <v>367</v>
      </c>
      <c r="N8" s="2">
        <v>27</v>
      </c>
      <c r="O8" s="2">
        <v>37</v>
      </c>
      <c r="P8" s="2">
        <v>36</v>
      </c>
      <c r="Q8" s="2">
        <v>12</v>
      </c>
      <c r="R8" s="7">
        <f t="shared" si="2"/>
        <v>112</v>
      </c>
      <c r="S8" s="77">
        <f t="shared" si="3"/>
        <v>0.5714285714285714</v>
      </c>
      <c r="T8" s="82">
        <f t="shared" si="4"/>
        <v>15.956521739130435</v>
      </c>
      <c r="U8" s="8"/>
    </row>
    <row r="9" spans="1:22" x14ac:dyDescent="0.2">
      <c r="A9" s="2" t="s">
        <v>147</v>
      </c>
      <c r="B9" s="2" t="s">
        <v>70</v>
      </c>
      <c r="C9" s="2" t="s">
        <v>131</v>
      </c>
      <c r="D9" s="3">
        <v>41791</v>
      </c>
      <c r="E9" s="4" t="s">
        <v>39</v>
      </c>
      <c r="F9" s="5">
        <v>8.3000000000000007</v>
      </c>
      <c r="G9" s="5">
        <v>7.3000000000000007</v>
      </c>
      <c r="H9" s="5">
        <v>0.8</v>
      </c>
      <c r="I9" s="2">
        <v>21</v>
      </c>
      <c r="J9" s="6">
        <f t="shared" si="0"/>
        <v>2.5301204819277108</v>
      </c>
      <c r="K9" s="2">
        <v>714</v>
      </c>
      <c r="L9" s="6">
        <f t="shared" si="1"/>
        <v>86.024096385542165</v>
      </c>
      <c r="M9" s="7">
        <v>327</v>
      </c>
      <c r="N9" s="2">
        <v>25</v>
      </c>
      <c r="O9" s="2">
        <v>36</v>
      </c>
      <c r="P9" s="2">
        <v>33</v>
      </c>
      <c r="Q9" s="2">
        <v>12</v>
      </c>
      <c r="R9" s="7">
        <f t="shared" si="2"/>
        <v>106</v>
      </c>
      <c r="S9" s="77">
        <f t="shared" si="3"/>
        <v>0.57547169811320753</v>
      </c>
      <c r="T9" s="82">
        <f t="shared" si="4"/>
        <v>15.571428571428571</v>
      </c>
      <c r="U9" s="8"/>
    </row>
    <row r="10" spans="1:22" x14ac:dyDescent="0.2">
      <c r="A10" s="2" t="s">
        <v>147</v>
      </c>
      <c r="B10" s="2" t="s">
        <v>112</v>
      </c>
      <c r="C10" s="2" t="s">
        <v>130</v>
      </c>
      <c r="D10" s="3">
        <v>41791</v>
      </c>
      <c r="E10" s="4" t="s">
        <v>30</v>
      </c>
      <c r="F10" s="5">
        <v>7</v>
      </c>
      <c r="G10" s="5">
        <v>6</v>
      </c>
      <c r="H10" s="5">
        <v>0.5</v>
      </c>
      <c r="I10" s="2">
        <v>22</v>
      </c>
      <c r="J10" s="6">
        <f t="shared" si="0"/>
        <v>3.1428571428571428</v>
      </c>
      <c r="K10" s="2">
        <v>748</v>
      </c>
      <c r="L10" s="6">
        <f t="shared" si="1"/>
        <v>106.85714285714286</v>
      </c>
      <c r="M10" s="7">
        <v>358</v>
      </c>
      <c r="N10" s="2">
        <v>24</v>
      </c>
      <c r="O10" s="2">
        <v>40</v>
      </c>
      <c r="P10" s="2">
        <v>32</v>
      </c>
      <c r="Q10" s="2">
        <v>15</v>
      </c>
      <c r="R10" s="7">
        <f t="shared" si="2"/>
        <v>111</v>
      </c>
      <c r="S10" s="77">
        <f t="shared" si="3"/>
        <v>0.57657657657657657</v>
      </c>
      <c r="T10" s="82">
        <f t="shared" si="4"/>
        <v>16.272727272727273</v>
      </c>
      <c r="U10" s="8"/>
    </row>
    <row r="11" spans="1:22" x14ac:dyDescent="0.2">
      <c r="A11" s="2" t="s">
        <v>147</v>
      </c>
      <c r="B11" s="2" t="s">
        <v>108</v>
      </c>
      <c r="C11" s="2" t="s">
        <v>131</v>
      </c>
      <c r="D11" s="3">
        <v>41791</v>
      </c>
      <c r="E11" s="4" t="s">
        <v>19</v>
      </c>
      <c r="F11" s="5">
        <v>7.9</v>
      </c>
      <c r="G11" s="5">
        <v>6.9</v>
      </c>
      <c r="H11" s="5">
        <v>0.6</v>
      </c>
      <c r="I11" s="2">
        <v>24</v>
      </c>
      <c r="J11" s="6">
        <f t="shared" si="0"/>
        <v>3.0379746835443036</v>
      </c>
      <c r="K11" s="2">
        <v>816</v>
      </c>
      <c r="L11" s="6">
        <f t="shared" si="1"/>
        <v>103.29113924050633</v>
      </c>
      <c r="M11" s="7">
        <v>379</v>
      </c>
      <c r="N11" s="2">
        <v>23</v>
      </c>
      <c r="O11" s="2">
        <v>37</v>
      </c>
      <c r="P11" s="2">
        <v>33</v>
      </c>
      <c r="Q11" s="2">
        <v>11</v>
      </c>
      <c r="R11" s="7">
        <f t="shared" si="2"/>
        <v>104</v>
      </c>
      <c r="S11" s="77">
        <f t="shared" si="3"/>
        <v>0.57692307692307687</v>
      </c>
      <c r="T11" s="82">
        <f t="shared" si="4"/>
        <v>15.791666666666666</v>
      </c>
      <c r="U11" s="8"/>
    </row>
    <row r="12" spans="1:22" x14ac:dyDescent="0.2">
      <c r="A12" s="2" t="s">
        <v>148</v>
      </c>
      <c r="B12" s="2" t="s">
        <v>60</v>
      </c>
      <c r="C12" s="2" t="s">
        <v>130</v>
      </c>
      <c r="D12" s="3">
        <v>41791</v>
      </c>
      <c r="E12" s="4" t="s">
        <v>23</v>
      </c>
      <c r="F12" s="5">
        <v>8</v>
      </c>
      <c r="G12" s="5">
        <v>7</v>
      </c>
      <c r="H12" s="5">
        <v>0.2</v>
      </c>
      <c r="I12" s="2">
        <v>19</v>
      </c>
      <c r="J12" s="6">
        <f t="shared" si="0"/>
        <v>2.375</v>
      </c>
      <c r="K12" s="2">
        <v>646</v>
      </c>
      <c r="L12" s="6">
        <f t="shared" si="1"/>
        <v>80.75</v>
      </c>
      <c r="M12" s="7">
        <v>370</v>
      </c>
      <c r="N12" s="2">
        <v>27</v>
      </c>
      <c r="O12" s="2">
        <v>38</v>
      </c>
      <c r="P12" s="2">
        <v>33</v>
      </c>
      <c r="Q12" s="2">
        <v>14</v>
      </c>
      <c r="R12" s="7">
        <f t="shared" si="2"/>
        <v>112</v>
      </c>
      <c r="S12" s="77">
        <f t="shared" si="3"/>
        <v>0.5803571428571429</v>
      </c>
      <c r="T12" s="82">
        <f t="shared" si="4"/>
        <v>19.473684210526315</v>
      </c>
      <c r="U12" s="8"/>
    </row>
    <row r="13" spans="1:22" x14ac:dyDescent="0.2">
      <c r="A13" s="2" t="s">
        <v>148</v>
      </c>
      <c r="B13" s="2" t="s">
        <v>68</v>
      </c>
      <c r="C13" s="2" t="s">
        <v>130</v>
      </c>
      <c r="D13" s="3">
        <v>41791</v>
      </c>
      <c r="E13" s="4" t="s">
        <v>30</v>
      </c>
      <c r="F13" s="5">
        <v>7.3</v>
      </c>
      <c r="G13" s="5">
        <v>6.3</v>
      </c>
      <c r="H13" s="5">
        <v>0.5</v>
      </c>
      <c r="I13" s="2">
        <v>18</v>
      </c>
      <c r="J13" s="6">
        <f t="shared" si="0"/>
        <v>2.4657534246575343</v>
      </c>
      <c r="K13" s="2">
        <v>612</v>
      </c>
      <c r="L13" s="6">
        <f t="shared" si="1"/>
        <v>83.835616438356169</v>
      </c>
      <c r="M13" s="7">
        <v>316</v>
      </c>
      <c r="N13" s="2">
        <v>28</v>
      </c>
      <c r="O13" s="2">
        <v>33</v>
      </c>
      <c r="P13" s="2">
        <v>34</v>
      </c>
      <c r="Q13" s="2">
        <v>11</v>
      </c>
      <c r="R13" s="7">
        <f t="shared" si="2"/>
        <v>106</v>
      </c>
      <c r="S13" s="77">
        <f t="shared" si="3"/>
        <v>0.57547169811320753</v>
      </c>
      <c r="T13" s="82">
        <f t="shared" si="4"/>
        <v>17.555555555555557</v>
      </c>
      <c r="U13" s="8"/>
    </row>
    <row r="14" spans="1:22" x14ac:dyDescent="0.2">
      <c r="A14" s="2" t="s">
        <v>148</v>
      </c>
      <c r="B14" s="2" t="s">
        <v>114</v>
      </c>
      <c r="C14" s="2" t="s">
        <v>131</v>
      </c>
      <c r="D14" s="3">
        <v>41791</v>
      </c>
      <c r="E14" s="4" t="s">
        <v>26</v>
      </c>
      <c r="F14" s="5">
        <v>7.9</v>
      </c>
      <c r="G14" s="5">
        <v>6.9</v>
      </c>
      <c r="H14" s="5">
        <v>0.70000000000000018</v>
      </c>
      <c r="I14" s="2">
        <v>25</v>
      </c>
      <c r="J14" s="6">
        <f t="shared" si="0"/>
        <v>3.1645569620253164</v>
      </c>
      <c r="K14" s="2">
        <v>850</v>
      </c>
      <c r="L14" s="6">
        <f t="shared" si="1"/>
        <v>107.59493670886076</v>
      </c>
      <c r="M14" s="7">
        <v>330</v>
      </c>
      <c r="N14" s="2">
        <v>24</v>
      </c>
      <c r="O14" s="2">
        <v>32</v>
      </c>
      <c r="P14" s="2">
        <v>30</v>
      </c>
      <c r="Q14" s="2">
        <v>10</v>
      </c>
      <c r="R14" s="7">
        <f t="shared" si="2"/>
        <v>96</v>
      </c>
      <c r="S14" s="77">
        <f t="shared" si="3"/>
        <v>0.58333333333333337</v>
      </c>
      <c r="T14" s="82">
        <f t="shared" si="4"/>
        <v>13.2</v>
      </c>
      <c r="U14" s="8"/>
    </row>
    <row r="15" spans="1:22" x14ac:dyDescent="0.2">
      <c r="A15" s="2" t="s">
        <v>148</v>
      </c>
      <c r="B15" s="2" t="s">
        <v>118</v>
      </c>
      <c r="C15" s="2" t="s">
        <v>130</v>
      </c>
      <c r="D15" s="3">
        <v>41791</v>
      </c>
      <c r="E15" s="4" t="s">
        <v>32</v>
      </c>
      <c r="F15" s="5">
        <v>7</v>
      </c>
      <c r="G15" s="5">
        <v>6</v>
      </c>
      <c r="H15" s="5">
        <v>0.3</v>
      </c>
      <c r="I15" s="2">
        <v>23</v>
      </c>
      <c r="J15" s="6">
        <f t="shared" si="0"/>
        <v>3.2857142857142856</v>
      </c>
      <c r="K15" s="2">
        <v>782</v>
      </c>
      <c r="L15" s="6">
        <f t="shared" si="1"/>
        <v>111.71428571428571</v>
      </c>
      <c r="M15" s="7">
        <v>369</v>
      </c>
      <c r="N15" s="2">
        <v>21</v>
      </c>
      <c r="O15" s="2">
        <v>40</v>
      </c>
      <c r="P15" s="2">
        <v>34</v>
      </c>
      <c r="Q15" s="2">
        <v>10</v>
      </c>
      <c r="R15" s="7">
        <f t="shared" si="2"/>
        <v>105</v>
      </c>
      <c r="S15" s="77">
        <f t="shared" si="3"/>
        <v>0.580952380952381</v>
      </c>
      <c r="T15" s="82">
        <f t="shared" si="4"/>
        <v>16.043478260869566</v>
      </c>
      <c r="U15" s="8"/>
    </row>
    <row r="16" spans="1:22" x14ac:dyDescent="0.2">
      <c r="A16" s="2" t="s">
        <v>148</v>
      </c>
      <c r="B16" s="2" t="s">
        <v>116</v>
      </c>
      <c r="C16" s="2" t="s">
        <v>131</v>
      </c>
      <c r="D16" s="3">
        <v>41791</v>
      </c>
      <c r="E16" s="4" t="s">
        <v>39</v>
      </c>
      <c r="F16" s="5">
        <v>7.5</v>
      </c>
      <c r="G16" s="5">
        <v>6.5</v>
      </c>
      <c r="H16" s="5">
        <v>0.8</v>
      </c>
      <c r="I16" s="2">
        <v>24</v>
      </c>
      <c r="J16" s="6">
        <f t="shared" si="0"/>
        <v>3.2</v>
      </c>
      <c r="K16" s="2">
        <v>816</v>
      </c>
      <c r="L16" s="6">
        <f t="shared" si="1"/>
        <v>108.8</v>
      </c>
      <c r="M16" s="7">
        <v>365</v>
      </c>
      <c r="N16" s="2">
        <v>29</v>
      </c>
      <c r="O16" s="2">
        <v>34</v>
      </c>
      <c r="P16" s="2">
        <v>36</v>
      </c>
      <c r="Q16" s="2">
        <v>14</v>
      </c>
      <c r="R16" s="7">
        <f t="shared" si="2"/>
        <v>113</v>
      </c>
      <c r="S16" s="77">
        <f t="shared" si="3"/>
        <v>0.55752212389380529</v>
      </c>
      <c r="T16" s="82">
        <f t="shared" si="4"/>
        <v>15.208333333333334</v>
      </c>
      <c r="U16" s="8"/>
    </row>
    <row r="17" spans="1:21" x14ac:dyDescent="0.2">
      <c r="A17" s="2" t="s">
        <v>148</v>
      </c>
      <c r="B17" s="2" t="s">
        <v>96</v>
      </c>
      <c r="C17" s="2" t="s">
        <v>131</v>
      </c>
      <c r="D17" s="3">
        <v>41791</v>
      </c>
      <c r="E17" s="4" t="s">
        <v>19</v>
      </c>
      <c r="F17" s="5">
        <v>7.3</v>
      </c>
      <c r="G17" s="5">
        <v>6.3</v>
      </c>
      <c r="H17" s="5">
        <v>0.6</v>
      </c>
      <c r="I17" s="2">
        <v>21</v>
      </c>
      <c r="J17" s="6">
        <f t="shared" si="0"/>
        <v>2.8767123287671232</v>
      </c>
      <c r="K17" s="2">
        <v>714</v>
      </c>
      <c r="L17" s="6">
        <f t="shared" si="1"/>
        <v>97.808219178082197</v>
      </c>
      <c r="M17" s="7">
        <v>381</v>
      </c>
      <c r="N17" s="2">
        <v>23</v>
      </c>
      <c r="O17" s="2">
        <v>34</v>
      </c>
      <c r="P17" s="2">
        <v>36</v>
      </c>
      <c r="Q17" s="2">
        <v>11</v>
      </c>
      <c r="R17" s="7">
        <f t="shared" si="2"/>
        <v>104</v>
      </c>
      <c r="S17" s="77">
        <f t="shared" si="3"/>
        <v>0.54807692307692313</v>
      </c>
      <c r="T17" s="82">
        <f t="shared" si="4"/>
        <v>18.142857142857142</v>
      </c>
      <c r="U17" s="8"/>
    </row>
    <row r="18" spans="1:21" x14ac:dyDescent="0.2">
      <c r="A18" s="2" t="s">
        <v>148</v>
      </c>
      <c r="B18" s="2" t="s">
        <v>107</v>
      </c>
      <c r="C18" s="2" t="s">
        <v>130</v>
      </c>
      <c r="D18" s="3">
        <v>41791</v>
      </c>
      <c r="E18" s="4" t="s">
        <v>23</v>
      </c>
      <c r="F18" s="5">
        <v>8.3000000000000007</v>
      </c>
      <c r="G18" s="5">
        <v>7.3000000000000007</v>
      </c>
      <c r="H18" s="5">
        <v>0.2</v>
      </c>
      <c r="I18" s="2">
        <v>25</v>
      </c>
      <c r="J18" s="6">
        <f t="shared" si="0"/>
        <v>3.012048192771084</v>
      </c>
      <c r="K18" s="2">
        <v>850</v>
      </c>
      <c r="L18" s="6">
        <f t="shared" si="1"/>
        <v>102.40963855421685</v>
      </c>
      <c r="M18" s="7">
        <v>348</v>
      </c>
      <c r="N18" s="2">
        <v>20</v>
      </c>
      <c r="O18" s="2">
        <v>38</v>
      </c>
      <c r="P18" s="2">
        <v>30</v>
      </c>
      <c r="Q18" s="2">
        <v>10</v>
      </c>
      <c r="R18" s="7">
        <f t="shared" si="2"/>
        <v>98</v>
      </c>
      <c r="S18" s="77">
        <f t="shared" si="3"/>
        <v>0.59183673469387754</v>
      </c>
      <c r="T18" s="82">
        <f t="shared" si="4"/>
        <v>13.92</v>
      </c>
      <c r="U18" s="8"/>
    </row>
    <row r="19" spans="1:21" x14ac:dyDescent="0.2">
      <c r="A19" s="2" t="s">
        <v>148</v>
      </c>
      <c r="B19" s="2" t="s">
        <v>18</v>
      </c>
      <c r="C19" s="2" t="s">
        <v>131</v>
      </c>
      <c r="D19" s="3">
        <v>41791</v>
      </c>
      <c r="E19" s="4" t="s">
        <v>19</v>
      </c>
      <c r="F19" s="5">
        <v>8.3000000000000007</v>
      </c>
      <c r="G19" s="5">
        <v>7.3000000000000007</v>
      </c>
      <c r="H19" s="5">
        <v>0.6</v>
      </c>
      <c r="I19" s="2">
        <v>15</v>
      </c>
      <c r="J19" s="6">
        <f t="shared" si="0"/>
        <v>1.8072289156626504</v>
      </c>
      <c r="K19" s="2">
        <v>510</v>
      </c>
      <c r="L19" s="6">
        <f t="shared" si="1"/>
        <v>61.445783132530117</v>
      </c>
      <c r="M19" s="7">
        <v>302</v>
      </c>
      <c r="N19" s="2">
        <v>21</v>
      </c>
      <c r="O19" s="2">
        <v>34</v>
      </c>
      <c r="P19" s="2">
        <v>36</v>
      </c>
      <c r="Q19" s="2">
        <v>13</v>
      </c>
      <c r="R19" s="7">
        <f t="shared" si="2"/>
        <v>104</v>
      </c>
      <c r="S19" s="77">
        <f t="shared" si="3"/>
        <v>0.52884615384615385</v>
      </c>
      <c r="T19" s="82">
        <f t="shared" si="4"/>
        <v>20.133333333333333</v>
      </c>
      <c r="U19" s="8"/>
    </row>
    <row r="20" spans="1:21" x14ac:dyDescent="0.2">
      <c r="A20" s="2" t="s">
        <v>148</v>
      </c>
      <c r="B20" s="2" t="s">
        <v>58</v>
      </c>
      <c r="C20" s="2" t="s">
        <v>131</v>
      </c>
      <c r="D20" s="3">
        <v>41791</v>
      </c>
      <c r="E20" s="4" t="s">
        <v>26</v>
      </c>
      <c r="F20" s="5">
        <v>7.6</v>
      </c>
      <c r="G20" s="5">
        <v>6.6</v>
      </c>
      <c r="H20" s="5">
        <v>0.70000000000000018</v>
      </c>
      <c r="I20" s="2">
        <v>18</v>
      </c>
      <c r="J20" s="6">
        <f t="shared" si="0"/>
        <v>2.3684210526315792</v>
      </c>
      <c r="K20" s="2">
        <v>612</v>
      </c>
      <c r="L20" s="6">
        <f t="shared" si="1"/>
        <v>80.526315789473685</v>
      </c>
      <c r="M20" s="7">
        <v>327</v>
      </c>
      <c r="N20" s="2">
        <v>23</v>
      </c>
      <c r="O20" s="2">
        <v>30</v>
      </c>
      <c r="P20" s="2">
        <v>33</v>
      </c>
      <c r="Q20" s="2">
        <v>11</v>
      </c>
      <c r="R20" s="7">
        <f t="shared" si="2"/>
        <v>97</v>
      </c>
      <c r="S20" s="77">
        <f t="shared" si="3"/>
        <v>0.54639175257731953</v>
      </c>
      <c r="T20" s="82">
        <f t="shared" si="4"/>
        <v>18.166666666666668</v>
      </c>
      <c r="U20" s="8"/>
    </row>
    <row r="21" spans="1:21" x14ac:dyDescent="0.2">
      <c r="A21" s="2" t="s">
        <v>148</v>
      </c>
      <c r="B21" s="2" t="s">
        <v>109</v>
      </c>
      <c r="C21" s="2" t="s">
        <v>130</v>
      </c>
      <c r="D21" s="3">
        <v>41791</v>
      </c>
      <c r="E21" s="4" t="s">
        <v>30</v>
      </c>
      <c r="F21" s="5">
        <v>7.9</v>
      </c>
      <c r="G21" s="5">
        <v>6.9</v>
      </c>
      <c r="H21" s="5">
        <v>0.5</v>
      </c>
      <c r="I21" s="2">
        <v>24</v>
      </c>
      <c r="J21" s="6">
        <f t="shared" si="0"/>
        <v>3.0379746835443036</v>
      </c>
      <c r="K21" s="2">
        <v>816</v>
      </c>
      <c r="L21" s="6">
        <f t="shared" si="1"/>
        <v>103.29113924050633</v>
      </c>
      <c r="M21" s="7">
        <v>335</v>
      </c>
      <c r="N21" s="2">
        <v>28</v>
      </c>
      <c r="O21" s="2">
        <v>31</v>
      </c>
      <c r="P21" s="2">
        <v>33</v>
      </c>
      <c r="Q21" s="2">
        <v>15</v>
      </c>
      <c r="R21" s="7">
        <f t="shared" si="2"/>
        <v>107</v>
      </c>
      <c r="S21" s="77">
        <f t="shared" si="3"/>
        <v>0.55140186915887845</v>
      </c>
      <c r="T21" s="82">
        <f t="shared" si="4"/>
        <v>13.958333333333334</v>
      </c>
      <c r="U21" s="8"/>
    </row>
    <row r="22" spans="1:21" x14ac:dyDescent="0.2">
      <c r="A22" s="2" t="s">
        <v>149</v>
      </c>
      <c r="B22" s="2" t="s">
        <v>36</v>
      </c>
      <c r="C22" s="2" t="s">
        <v>131</v>
      </c>
      <c r="D22" s="3">
        <v>41791</v>
      </c>
      <c r="E22" s="4" t="s">
        <v>19</v>
      </c>
      <c r="F22" s="5">
        <v>7.5</v>
      </c>
      <c r="G22" s="5">
        <v>6.5</v>
      </c>
      <c r="H22" s="5">
        <v>0.6</v>
      </c>
      <c r="I22" s="2">
        <v>15</v>
      </c>
      <c r="J22" s="6">
        <f t="shared" si="0"/>
        <v>2</v>
      </c>
      <c r="K22" s="2">
        <v>510</v>
      </c>
      <c r="L22" s="6">
        <f t="shared" si="1"/>
        <v>68</v>
      </c>
      <c r="M22" s="7">
        <v>324</v>
      </c>
      <c r="N22" s="2">
        <v>25</v>
      </c>
      <c r="O22" s="2">
        <v>32</v>
      </c>
      <c r="P22" s="2">
        <v>31</v>
      </c>
      <c r="Q22" s="2">
        <v>14</v>
      </c>
      <c r="R22" s="7">
        <f t="shared" si="2"/>
        <v>102</v>
      </c>
      <c r="S22" s="77">
        <f t="shared" si="3"/>
        <v>0.55882352941176472</v>
      </c>
      <c r="T22" s="82">
        <f t="shared" si="4"/>
        <v>21.6</v>
      </c>
      <c r="U22" s="8"/>
    </row>
    <row r="23" spans="1:21" x14ac:dyDescent="0.2">
      <c r="A23" s="2" t="s">
        <v>149</v>
      </c>
      <c r="B23" s="2" t="s">
        <v>44</v>
      </c>
      <c r="C23" s="2" t="s">
        <v>131</v>
      </c>
      <c r="D23" s="3">
        <v>41791</v>
      </c>
      <c r="E23" s="4" t="s">
        <v>39</v>
      </c>
      <c r="F23" s="5">
        <v>7.6</v>
      </c>
      <c r="G23" s="5">
        <v>6.6</v>
      </c>
      <c r="H23" s="5">
        <v>0.8</v>
      </c>
      <c r="I23" s="2">
        <v>16</v>
      </c>
      <c r="J23" s="6">
        <f t="shared" si="0"/>
        <v>2.1052631578947367</v>
      </c>
      <c r="K23" s="2">
        <v>544</v>
      </c>
      <c r="L23" s="6">
        <f t="shared" si="1"/>
        <v>71.578947368421055</v>
      </c>
      <c r="M23" s="7">
        <v>376</v>
      </c>
      <c r="N23" s="2">
        <v>28</v>
      </c>
      <c r="O23" s="2">
        <v>39</v>
      </c>
      <c r="P23" s="2">
        <v>33</v>
      </c>
      <c r="Q23" s="2">
        <v>12</v>
      </c>
      <c r="R23" s="7">
        <f t="shared" si="2"/>
        <v>112</v>
      </c>
      <c r="S23" s="77">
        <f t="shared" si="3"/>
        <v>0.5982142857142857</v>
      </c>
      <c r="T23" s="82">
        <f t="shared" si="4"/>
        <v>23.5</v>
      </c>
      <c r="U23" s="8"/>
    </row>
    <row r="24" spans="1:21" x14ac:dyDescent="0.2">
      <c r="A24" s="2" t="s">
        <v>149</v>
      </c>
      <c r="B24" s="2" t="s">
        <v>78</v>
      </c>
      <c r="C24" s="2" t="s">
        <v>131</v>
      </c>
      <c r="D24" s="3">
        <v>41791</v>
      </c>
      <c r="E24" s="4" t="s">
        <v>19</v>
      </c>
      <c r="F24" s="5">
        <v>8</v>
      </c>
      <c r="G24" s="5">
        <v>7</v>
      </c>
      <c r="H24" s="5">
        <v>0.6</v>
      </c>
      <c r="I24" s="2">
        <v>21</v>
      </c>
      <c r="J24" s="6">
        <f t="shared" si="0"/>
        <v>2.625</v>
      </c>
      <c r="K24" s="2">
        <v>714</v>
      </c>
      <c r="L24" s="6">
        <f t="shared" si="1"/>
        <v>89.25</v>
      </c>
      <c r="M24" s="7">
        <v>348</v>
      </c>
      <c r="N24" s="2">
        <v>22</v>
      </c>
      <c r="O24" s="2">
        <v>30</v>
      </c>
      <c r="P24" s="2">
        <v>37</v>
      </c>
      <c r="Q24" s="2">
        <v>14</v>
      </c>
      <c r="R24" s="7">
        <f t="shared" si="2"/>
        <v>103</v>
      </c>
      <c r="S24" s="77">
        <f t="shared" si="3"/>
        <v>0.50485436893203883</v>
      </c>
      <c r="T24" s="82">
        <f t="shared" si="4"/>
        <v>16.571428571428573</v>
      </c>
      <c r="U24" s="8"/>
    </row>
    <row r="25" spans="1:21" x14ac:dyDescent="0.2">
      <c r="A25" s="2" t="s">
        <v>149</v>
      </c>
      <c r="B25" s="2" t="s">
        <v>31</v>
      </c>
      <c r="C25" s="2" t="s">
        <v>130</v>
      </c>
      <c r="D25" s="3">
        <v>41791</v>
      </c>
      <c r="E25" s="4" t="s">
        <v>32</v>
      </c>
      <c r="F25" s="5">
        <v>7.6</v>
      </c>
      <c r="G25" s="5">
        <v>6.6</v>
      </c>
      <c r="H25" s="5">
        <v>0.3</v>
      </c>
      <c r="I25" s="2">
        <v>15</v>
      </c>
      <c r="J25" s="6">
        <f t="shared" si="0"/>
        <v>1.9736842105263159</v>
      </c>
      <c r="K25" s="2">
        <v>510</v>
      </c>
      <c r="L25" s="6">
        <f t="shared" si="1"/>
        <v>67.10526315789474</v>
      </c>
      <c r="M25" s="7">
        <v>356</v>
      </c>
      <c r="N25" s="2">
        <v>21</v>
      </c>
      <c r="O25" s="2">
        <v>35</v>
      </c>
      <c r="P25" s="2">
        <v>35</v>
      </c>
      <c r="Q25" s="2">
        <v>10</v>
      </c>
      <c r="R25" s="7">
        <f t="shared" si="2"/>
        <v>101</v>
      </c>
      <c r="S25" s="77">
        <f t="shared" si="3"/>
        <v>0.5544554455445545</v>
      </c>
      <c r="T25" s="82">
        <f t="shared" si="4"/>
        <v>23.733333333333334</v>
      </c>
      <c r="U25" s="8"/>
    </row>
    <row r="26" spans="1:21" x14ac:dyDescent="0.2">
      <c r="A26" s="2" t="s">
        <v>149</v>
      </c>
      <c r="B26" s="2" t="s">
        <v>87</v>
      </c>
      <c r="C26" s="2" t="s">
        <v>130</v>
      </c>
      <c r="D26" s="3">
        <v>41791</v>
      </c>
      <c r="E26" s="4" t="s">
        <v>32</v>
      </c>
      <c r="F26" s="5">
        <v>7.9</v>
      </c>
      <c r="G26" s="5">
        <v>6.9</v>
      </c>
      <c r="H26" s="5">
        <v>0.3</v>
      </c>
      <c r="I26" s="2">
        <v>22</v>
      </c>
      <c r="J26" s="6">
        <f t="shared" si="0"/>
        <v>2.7848101265822782</v>
      </c>
      <c r="K26" s="2">
        <v>748</v>
      </c>
      <c r="L26" s="6">
        <f t="shared" si="1"/>
        <v>94.683544303797461</v>
      </c>
      <c r="M26" s="7">
        <v>341</v>
      </c>
      <c r="N26" s="2">
        <v>22</v>
      </c>
      <c r="O26" s="2">
        <v>30</v>
      </c>
      <c r="P26" s="2">
        <v>31</v>
      </c>
      <c r="Q26" s="2">
        <v>14</v>
      </c>
      <c r="R26" s="7">
        <f t="shared" si="2"/>
        <v>97</v>
      </c>
      <c r="S26" s="77">
        <f t="shared" si="3"/>
        <v>0.53608247422680411</v>
      </c>
      <c r="T26" s="82">
        <f t="shared" si="4"/>
        <v>15.5</v>
      </c>
      <c r="U26" s="8"/>
    </row>
    <row r="27" spans="1:21" x14ac:dyDescent="0.2">
      <c r="A27" s="2" t="s">
        <v>149</v>
      </c>
      <c r="B27" s="2" t="s">
        <v>73</v>
      </c>
      <c r="C27" s="2" t="s">
        <v>131</v>
      </c>
      <c r="D27" s="3">
        <v>41791</v>
      </c>
      <c r="E27" s="4" t="s">
        <v>26</v>
      </c>
      <c r="F27" s="5">
        <v>7.3</v>
      </c>
      <c r="G27" s="5">
        <v>6.3</v>
      </c>
      <c r="H27" s="5">
        <v>0.70000000000000018</v>
      </c>
      <c r="I27" s="2">
        <v>19</v>
      </c>
      <c r="J27" s="6">
        <f t="shared" si="0"/>
        <v>2.6027397260273974</v>
      </c>
      <c r="K27" s="2">
        <v>646</v>
      </c>
      <c r="L27" s="6">
        <f t="shared" si="1"/>
        <v>88.493150684931507</v>
      </c>
      <c r="M27" s="7">
        <v>354</v>
      </c>
      <c r="N27" s="2">
        <v>28</v>
      </c>
      <c r="O27" s="2">
        <v>38</v>
      </c>
      <c r="P27" s="2">
        <v>36</v>
      </c>
      <c r="Q27" s="2">
        <v>11</v>
      </c>
      <c r="R27" s="7">
        <f t="shared" si="2"/>
        <v>113</v>
      </c>
      <c r="S27" s="77">
        <f t="shared" si="3"/>
        <v>0.58407079646017701</v>
      </c>
      <c r="T27" s="82">
        <f t="shared" si="4"/>
        <v>18.631578947368421</v>
      </c>
      <c r="U27" s="8"/>
    </row>
    <row r="28" spans="1:21" x14ac:dyDescent="0.2">
      <c r="A28" s="2" t="s">
        <v>149</v>
      </c>
      <c r="B28" s="2" t="s">
        <v>117</v>
      </c>
      <c r="C28" s="2" t="s">
        <v>130</v>
      </c>
      <c r="D28" s="3">
        <v>41791</v>
      </c>
      <c r="E28" s="4" t="s">
        <v>23</v>
      </c>
      <c r="F28" s="5">
        <v>7.5</v>
      </c>
      <c r="G28" s="5">
        <v>6.5</v>
      </c>
      <c r="H28" s="5">
        <v>0.2</v>
      </c>
      <c r="I28" s="2">
        <v>24</v>
      </c>
      <c r="J28" s="6">
        <f t="shared" si="0"/>
        <v>3.2</v>
      </c>
      <c r="K28" s="2">
        <v>816</v>
      </c>
      <c r="L28" s="6">
        <f t="shared" si="1"/>
        <v>108.8</v>
      </c>
      <c r="M28" s="7">
        <v>379</v>
      </c>
      <c r="N28" s="2">
        <v>20</v>
      </c>
      <c r="O28" s="2">
        <v>36</v>
      </c>
      <c r="P28" s="2">
        <v>31</v>
      </c>
      <c r="Q28" s="2">
        <v>14</v>
      </c>
      <c r="R28" s="7">
        <f t="shared" si="2"/>
        <v>101</v>
      </c>
      <c r="S28" s="77">
        <f t="shared" si="3"/>
        <v>0.5544554455445545</v>
      </c>
      <c r="T28" s="82">
        <f t="shared" si="4"/>
        <v>15.791666666666666</v>
      </c>
      <c r="U28" s="8"/>
    </row>
    <row r="29" spans="1:21" x14ac:dyDescent="0.2">
      <c r="A29" s="2" t="s">
        <v>149</v>
      </c>
      <c r="B29" s="2" t="s">
        <v>119</v>
      </c>
      <c r="C29" s="2" t="s">
        <v>131</v>
      </c>
      <c r="D29" s="3">
        <v>41791</v>
      </c>
      <c r="E29" s="4" t="s">
        <v>39</v>
      </c>
      <c r="F29" s="5">
        <v>7</v>
      </c>
      <c r="G29" s="5">
        <v>6</v>
      </c>
      <c r="H29" s="5">
        <v>0.8</v>
      </c>
      <c r="I29" s="2">
        <v>23</v>
      </c>
      <c r="J29" s="6">
        <f t="shared" si="0"/>
        <v>3.2857142857142856</v>
      </c>
      <c r="K29" s="2">
        <v>782</v>
      </c>
      <c r="L29" s="6">
        <f t="shared" si="1"/>
        <v>111.71428571428571</v>
      </c>
      <c r="M29" s="7">
        <v>397</v>
      </c>
      <c r="N29" s="2">
        <v>23</v>
      </c>
      <c r="O29" s="2">
        <v>32</v>
      </c>
      <c r="P29" s="2">
        <v>33</v>
      </c>
      <c r="Q29" s="2">
        <v>13</v>
      </c>
      <c r="R29" s="7">
        <f t="shared" si="2"/>
        <v>101</v>
      </c>
      <c r="S29" s="77">
        <f t="shared" si="3"/>
        <v>0.54455445544554459</v>
      </c>
      <c r="T29" s="82">
        <f t="shared" si="4"/>
        <v>17.260869565217391</v>
      </c>
      <c r="U29" s="8"/>
    </row>
    <row r="30" spans="1:21" x14ac:dyDescent="0.2">
      <c r="A30" s="2" t="s">
        <v>149</v>
      </c>
      <c r="B30" s="2" t="s">
        <v>55</v>
      </c>
      <c r="C30" s="2" t="s">
        <v>130</v>
      </c>
      <c r="D30" s="3">
        <v>41791</v>
      </c>
      <c r="E30" s="4" t="s">
        <v>23</v>
      </c>
      <c r="F30" s="5">
        <v>7</v>
      </c>
      <c r="G30" s="5">
        <v>6</v>
      </c>
      <c r="H30" s="5">
        <v>0.2</v>
      </c>
      <c r="I30" s="2">
        <v>16</v>
      </c>
      <c r="J30" s="6">
        <f t="shared" si="0"/>
        <v>2.2857142857142856</v>
      </c>
      <c r="K30" s="2">
        <v>544</v>
      </c>
      <c r="L30" s="6">
        <f t="shared" si="1"/>
        <v>77.714285714285708</v>
      </c>
      <c r="M30" s="7">
        <v>353</v>
      </c>
      <c r="N30" s="2">
        <v>27</v>
      </c>
      <c r="O30" s="2">
        <v>37</v>
      </c>
      <c r="P30" s="2">
        <v>35</v>
      </c>
      <c r="Q30" s="2">
        <v>12</v>
      </c>
      <c r="R30" s="7">
        <f t="shared" si="2"/>
        <v>111</v>
      </c>
      <c r="S30" s="77">
        <f t="shared" si="3"/>
        <v>0.57657657657657657</v>
      </c>
      <c r="T30" s="82">
        <f t="shared" si="4"/>
        <v>22.0625</v>
      </c>
      <c r="U30" s="8"/>
    </row>
    <row r="31" spans="1:21" x14ac:dyDescent="0.2">
      <c r="A31" s="2" t="s">
        <v>149</v>
      </c>
      <c r="B31" s="2" t="s">
        <v>57</v>
      </c>
      <c r="C31" s="2" t="s">
        <v>130</v>
      </c>
      <c r="D31" s="3">
        <v>41791</v>
      </c>
      <c r="E31" s="4" t="s">
        <v>30</v>
      </c>
      <c r="F31" s="5">
        <v>8.3000000000000007</v>
      </c>
      <c r="G31" s="5">
        <v>7.3000000000000007</v>
      </c>
      <c r="H31" s="5">
        <v>0.5</v>
      </c>
      <c r="I31" s="2">
        <v>19</v>
      </c>
      <c r="J31" s="6">
        <f t="shared" si="0"/>
        <v>2.2891566265060237</v>
      </c>
      <c r="K31" s="2">
        <v>646</v>
      </c>
      <c r="L31" s="6">
        <f t="shared" si="1"/>
        <v>77.831325301204814</v>
      </c>
      <c r="M31" s="7">
        <v>356</v>
      </c>
      <c r="N31" s="2">
        <v>28</v>
      </c>
      <c r="O31" s="2">
        <v>38</v>
      </c>
      <c r="P31" s="2">
        <v>40</v>
      </c>
      <c r="Q31" s="2">
        <v>14</v>
      </c>
      <c r="R31" s="7">
        <f t="shared" si="2"/>
        <v>120</v>
      </c>
      <c r="S31" s="77">
        <f t="shared" si="3"/>
        <v>0.55000000000000004</v>
      </c>
      <c r="T31" s="82">
        <f t="shared" si="4"/>
        <v>18.736842105263158</v>
      </c>
      <c r="U31" s="8"/>
    </row>
    <row r="32" spans="1:21" x14ac:dyDescent="0.2">
      <c r="A32" s="2" t="s">
        <v>150</v>
      </c>
      <c r="B32" s="2" t="s">
        <v>69</v>
      </c>
      <c r="C32" s="2" t="s">
        <v>130</v>
      </c>
      <c r="D32" s="3">
        <v>41791</v>
      </c>
      <c r="E32" s="4" t="s">
        <v>23</v>
      </c>
      <c r="F32" s="5">
        <v>7.6</v>
      </c>
      <c r="G32" s="5">
        <v>6.6</v>
      </c>
      <c r="H32" s="5">
        <v>0.2</v>
      </c>
      <c r="I32" s="2">
        <v>19</v>
      </c>
      <c r="J32" s="6">
        <f t="shared" si="0"/>
        <v>2.5</v>
      </c>
      <c r="K32" s="2">
        <v>646</v>
      </c>
      <c r="L32" s="6">
        <f t="shared" si="1"/>
        <v>85</v>
      </c>
      <c r="M32" s="7">
        <v>324</v>
      </c>
      <c r="N32" s="2">
        <v>22</v>
      </c>
      <c r="O32" s="2">
        <v>36</v>
      </c>
      <c r="P32" s="2">
        <v>39</v>
      </c>
      <c r="Q32" s="2">
        <v>14</v>
      </c>
      <c r="R32" s="7">
        <f t="shared" si="2"/>
        <v>111</v>
      </c>
      <c r="S32" s="77">
        <f t="shared" si="3"/>
        <v>0.52252252252252251</v>
      </c>
      <c r="T32" s="82">
        <f t="shared" si="4"/>
        <v>17.05263157894737</v>
      </c>
      <c r="U32" s="8"/>
    </row>
    <row r="33" spans="1:21" x14ac:dyDescent="0.2">
      <c r="A33" s="2" t="s">
        <v>150</v>
      </c>
      <c r="B33" s="2" t="s">
        <v>97</v>
      </c>
      <c r="C33" s="2" t="s">
        <v>130</v>
      </c>
      <c r="D33" s="3">
        <v>41791</v>
      </c>
      <c r="E33" s="4" t="s">
        <v>32</v>
      </c>
      <c r="F33" s="5">
        <v>8.3000000000000007</v>
      </c>
      <c r="G33" s="5">
        <v>7.3000000000000007</v>
      </c>
      <c r="H33" s="5">
        <v>0.3</v>
      </c>
      <c r="I33" s="2">
        <v>24</v>
      </c>
      <c r="J33" s="6">
        <f t="shared" si="0"/>
        <v>2.8915662650602405</v>
      </c>
      <c r="K33" s="2">
        <v>816</v>
      </c>
      <c r="L33" s="6">
        <f t="shared" si="1"/>
        <v>98.313253012048179</v>
      </c>
      <c r="M33" s="7">
        <v>369</v>
      </c>
      <c r="N33" s="2">
        <v>21</v>
      </c>
      <c r="O33" s="2">
        <v>40</v>
      </c>
      <c r="P33" s="2">
        <v>34</v>
      </c>
      <c r="Q33" s="2">
        <v>15</v>
      </c>
      <c r="R33" s="7">
        <f t="shared" si="2"/>
        <v>110</v>
      </c>
      <c r="S33" s="77">
        <f t="shared" si="3"/>
        <v>0.55454545454545456</v>
      </c>
      <c r="T33" s="82">
        <f t="shared" si="4"/>
        <v>15.375</v>
      </c>
      <c r="U33" s="8"/>
    </row>
    <row r="34" spans="1:21" x14ac:dyDescent="0.2">
      <c r="A34" s="2" t="s">
        <v>150</v>
      </c>
      <c r="B34" s="2" t="s">
        <v>41</v>
      </c>
      <c r="C34" s="2" t="s">
        <v>130</v>
      </c>
      <c r="D34" s="3">
        <v>41791</v>
      </c>
      <c r="E34" s="4" t="s">
        <v>32</v>
      </c>
      <c r="F34" s="5">
        <v>7.3</v>
      </c>
      <c r="G34" s="5">
        <v>6.3</v>
      </c>
      <c r="H34" s="5">
        <v>0.3</v>
      </c>
      <c r="I34" s="2">
        <v>15</v>
      </c>
      <c r="J34" s="6">
        <f t="shared" ref="J34:J65" si="5">I34/F34</f>
        <v>2.0547945205479454</v>
      </c>
      <c r="K34" s="2">
        <v>510</v>
      </c>
      <c r="L34" s="6">
        <f t="shared" ref="L34:L65" si="6">K34/F34</f>
        <v>69.863013698630141</v>
      </c>
      <c r="M34" s="7">
        <v>301</v>
      </c>
      <c r="N34" s="2">
        <v>27</v>
      </c>
      <c r="O34" s="2">
        <v>39</v>
      </c>
      <c r="P34" s="2">
        <v>39</v>
      </c>
      <c r="Q34" s="2">
        <v>11</v>
      </c>
      <c r="R34" s="7">
        <f t="shared" ref="R34:R65" si="7">SUM(N34:Q34)</f>
        <v>116</v>
      </c>
      <c r="S34" s="77">
        <f t="shared" ref="S34:S65" si="8">SUM(N34:O34)/R34</f>
        <v>0.56896551724137934</v>
      </c>
      <c r="T34" s="82">
        <f t="shared" si="4"/>
        <v>20.066666666666666</v>
      </c>
      <c r="U34" s="8"/>
    </row>
    <row r="35" spans="1:21" x14ac:dyDescent="0.2">
      <c r="A35" s="2" t="s">
        <v>150</v>
      </c>
      <c r="B35" s="2" t="s">
        <v>84</v>
      </c>
      <c r="C35" s="2" t="s">
        <v>131</v>
      </c>
      <c r="D35" s="3">
        <v>41791</v>
      </c>
      <c r="E35" s="4" t="s">
        <v>19</v>
      </c>
      <c r="F35" s="5">
        <v>7</v>
      </c>
      <c r="G35" s="5">
        <v>6</v>
      </c>
      <c r="H35" s="5">
        <v>0.6</v>
      </c>
      <c r="I35" s="2">
        <v>19</v>
      </c>
      <c r="J35" s="6">
        <f t="shared" si="5"/>
        <v>2.7142857142857144</v>
      </c>
      <c r="K35" s="2">
        <v>646</v>
      </c>
      <c r="L35" s="6">
        <f t="shared" si="6"/>
        <v>92.285714285714292</v>
      </c>
      <c r="M35" s="7">
        <v>307</v>
      </c>
      <c r="N35" s="2">
        <v>24</v>
      </c>
      <c r="O35" s="2">
        <v>33</v>
      </c>
      <c r="P35" s="2">
        <v>40</v>
      </c>
      <c r="Q35" s="2">
        <v>11</v>
      </c>
      <c r="R35" s="7">
        <f t="shared" si="7"/>
        <v>108</v>
      </c>
      <c r="S35" s="77">
        <f t="shared" si="8"/>
        <v>0.52777777777777779</v>
      </c>
      <c r="T35" s="82">
        <f t="shared" si="4"/>
        <v>16.157894736842106</v>
      </c>
    </row>
    <row r="36" spans="1:21" x14ac:dyDescent="0.2">
      <c r="A36" s="2" t="s">
        <v>150</v>
      </c>
      <c r="B36" s="2" t="s">
        <v>52</v>
      </c>
      <c r="C36" s="2" t="s">
        <v>130</v>
      </c>
      <c r="D36" s="3">
        <v>41791</v>
      </c>
      <c r="E36" s="4" t="s">
        <v>30</v>
      </c>
      <c r="F36" s="5">
        <v>8</v>
      </c>
      <c r="G36" s="5">
        <v>7</v>
      </c>
      <c r="H36" s="5">
        <v>0.5</v>
      </c>
      <c r="I36" s="2">
        <v>18</v>
      </c>
      <c r="J36" s="6">
        <f t="shared" si="5"/>
        <v>2.25</v>
      </c>
      <c r="K36" s="2">
        <v>612</v>
      </c>
      <c r="L36" s="6">
        <f t="shared" si="6"/>
        <v>76.5</v>
      </c>
      <c r="M36" s="7">
        <v>364</v>
      </c>
      <c r="N36" s="2">
        <v>21</v>
      </c>
      <c r="O36" s="2">
        <v>32</v>
      </c>
      <c r="P36" s="2">
        <v>37</v>
      </c>
      <c r="Q36" s="2">
        <v>13</v>
      </c>
      <c r="R36" s="7">
        <f t="shared" si="7"/>
        <v>103</v>
      </c>
      <c r="S36" s="77">
        <f t="shared" si="8"/>
        <v>0.5145631067961165</v>
      </c>
      <c r="T36" s="82">
        <f t="shared" si="4"/>
        <v>20.222222222222221</v>
      </c>
    </row>
    <row r="37" spans="1:21" x14ac:dyDescent="0.2">
      <c r="A37" s="2" t="s">
        <v>150</v>
      </c>
      <c r="B37" s="2" t="s">
        <v>62</v>
      </c>
      <c r="C37" s="2" t="s">
        <v>131</v>
      </c>
      <c r="D37" s="3">
        <v>41791</v>
      </c>
      <c r="E37" s="4" t="s">
        <v>26</v>
      </c>
      <c r="F37" s="5">
        <v>8.3000000000000007</v>
      </c>
      <c r="G37" s="5">
        <v>7.3000000000000007</v>
      </c>
      <c r="H37" s="5">
        <v>0.70000000000000018</v>
      </c>
      <c r="I37" s="2">
        <v>20</v>
      </c>
      <c r="J37" s="6">
        <f t="shared" si="5"/>
        <v>2.4096385542168672</v>
      </c>
      <c r="K37" s="2">
        <v>680</v>
      </c>
      <c r="L37" s="6">
        <f t="shared" si="6"/>
        <v>81.92771084337349</v>
      </c>
      <c r="M37" s="7">
        <v>357</v>
      </c>
      <c r="N37" s="2">
        <v>24</v>
      </c>
      <c r="O37" s="2">
        <v>30</v>
      </c>
      <c r="P37" s="2">
        <v>39</v>
      </c>
      <c r="Q37" s="2">
        <v>11</v>
      </c>
      <c r="R37" s="7">
        <f t="shared" si="7"/>
        <v>104</v>
      </c>
      <c r="S37" s="77">
        <f t="shared" si="8"/>
        <v>0.51923076923076927</v>
      </c>
      <c r="T37" s="82">
        <f t="shared" si="4"/>
        <v>17.850000000000001</v>
      </c>
    </row>
    <row r="38" spans="1:21" x14ac:dyDescent="0.2">
      <c r="A38" s="2" t="s">
        <v>150</v>
      </c>
      <c r="B38" s="2" t="s">
        <v>38</v>
      </c>
      <c r="C38" s="2" t="s">
        <v>131</v>
      </c>
      <c r="D38" s="3">
        <v>41791</v>
      </c>
      <c r="E38" s="4" t="s">
        <v>39</v>
      </c>
      <c r="F38" s="5">
        <v>7.9</v>
      </c>
      <c r="G38" s="5">
        <v>6.9</v>
      </c>
      <c r="H38" s="5">
        <v>0.8</v>
      </c>
      <c r="I38" s="2">
        <v>16</v>
      </c>
      <c r="J38" s="6">
        <f t="shared" si="5"/>
        <v>2.0253164556962022</v>
      </c>
      <c r="K38" s="2">
        <v>544</v>
      </c>
      <c r="L38" s="6">
        <f t="shared" si="6"/>
        <v>68.860759493670884</v>
      </c>
      <c r="M38" s="7">
        <v>398</v>
      </c>
      <c r="N38" s="2">
        <v>29</v>
      </c>
      <c r="O38" s="2">
        <v>31</v>
      </c>
      <c r="P38" s="2">
        <v>33</v>
      </c>
      <c r="Q38" s="2">
        <v>11</v>
      </c>
      <c r="R38" s="7">
        <f t="shared" si="7"/>
        <v>104</v>
      </c>
      <c r="S38" s="77">
        <f t="shared" si="8"/>
        <v>0.57692307692307687</v>
      </c>
      <c r="T38" s="82">
        <f t="shared" si="4"/>
        <v>24.875</v>
      </c>
    </row>
    <row r="39" spans="1:21" x14ac:dyDescent="0.2">
      <c r="A39" s="2" t="s">
        <v>150</v>
      </c>
      <c r="B39" s="2" t="s">
        <v>122</v>
      </c>
      <c r="C39" s="2" t="s">
        <v>131</v>
      </c>
      <c r="D39" s="3">
        <v>41791</v>
      </c>
      <c r="E39" s="4" t="s">
        <v>39</v>
      </c>
      <c r="F39" s="5">
        <v>7.3</v>
      </c>
      <c r="G39" s="5">
        <v>6.3</v>
      </c>
      <c r="H39" s="5">
        <v>0.8</v>
      </c>
      <c r="I39" s="2">
        <v>24</v>
      </c>
      <c r="J39" s="6">
        <f t="shared" si="5"/>
        <v>3.2876712328767126</v>
      </c>
      <c r="K39" s="2">
        <v>816</v>
      </c>
      <c r="L39" s="6">
        <f t="shared" si="6"/>
        <v>111.78082191780823</v>
      </c>
      <c r="M39" s="7">
        <v>338</v>
      </c>
      <c r="N39" s="2">
        <v>28</v>
      </c>
      <c r="O39" s="2">
        <v>35</v>
      </c>
      <c r="P39" s="2">
        <v>39</v>
      </c>
      <c r="Q39" s="2">
        <v>15</v>
      </c>
      <c r="R39" s="7">
        <f t="shared" si="7"/>
        <v>117</v>
      </c>
      <c r="S39" s="77">
        <f t="shared" si="8"/>
        <v>0.53846153846153844</v>
      </c>
      <c r="T39" s="82">
        <f t="shared" si="4"/>
        <v>14.083333333333334</v>
      </c>
    </row>
    <row r="40" spans="1:21" x14ac:dyDescent="0.2">
      <c r="A40" s="2" t="s">
        <v>150</v>
      </c>
      <c r="B40" s="2" t="s">
        <v>47</v>
      </c>
      <c r="C40" s="2" t="s">
        <v>130</v>
      </c>
      <c r="D40" s="3">
        <v>41791</v>
      </c>
      <c r="E40" s="4" t="s">
        <v>30</v>
      </c>
      <c r="F40" s="5">
        <v>7.5</v>
      </c>
      <c r="G40" s="5">
        <v>6.5</v>
      </c>
      <c r="H40" s="5">
        <v>0.5</v>
      </c>
      <c r="I40" s="2">
        <v>16</v>
      </c>
      <c r="J40" s="6">
        <f t="shared" si="5"/>
        <v>2.1333333333333333</v>
      </c>
      <c r="K40" s="2">
        <v>544</v>
      </c>
      <c r="L40" s="6">
        <f t="shared" si="6"/>
        <v>72.533333333333331</v>
      </c>
      <c r="M40" s="7">
        <v>327</v>
      </c>
      <c r="N40" s="2">
        <v>28</v>
      </c>
      <c r="O40" s="2">
        <v>33</v>
      </c>
      <c r="P40" s="2">
        <v>37</v>
      </c>
      <c r="Q40" s="2">
        <v>12</v>
      </c>
      <c r="R40" s="7">
        <f t="shared" si="7"/>
        <v>110</v>
      </c>
      <c r="S40" s="77">
        <f t="shared" si="8"/>
        <v>0.55454545454545456</v>
      </c>
      <c r="T40" s="82">
        <f t="shared" si="4"/>
        <v>20.4375</v>
      </c>
    </row>
    <row r="41" spans="1:21" x14ac:dyDescent="0.2">
      <c r="A41" s="2" t="s">
        <v>150</v>
      </c>
      <c r="B41" s="2" t="s">
        <v>37</v>
      </c>
      <c r="C41" s="2" t="s">
        <v>131</v>
      </c>
      <c r="D41" s="3">
        <v>41791</v>
      </c>
      <c r="E41" s="4" t="s">
        <v>26</v>
      </c>
      <c r="F41" s="5">
        <v>8</v>
      </c>
      <c r="G41" s="5">
        <v>7</v>
      </c>
      <c r="H41" s="5">
        <v>0.70000000000000018</v>
      </c>
      <c r="I41" s="2">
        <v>16</v>
      </c>
      <c r="J41" s="6">
        <f t="shared" si="5"/>
        <v>2</v>
      </c>
      <c r="K41" s="2">
        <v>544</v>
      </c>
      <c r="L41" s="6">
        <f t="shared" si="6"/>
        <v>68</v>
      </c>
      <c r="M41" s="7">
        <v>394</v>
      </c>
      <c r="N41" s="2">
        <v>29</v>
      </c>
      <c r="O41" s="2">
        <v>37</v>
      </c>
      <c r="P41" s="2">
        <v>34</v>
      </c>
      <c r="Q41" s="2">
        <v>11</v>
      </c>
      <c r="R41" s="7">
        <f t="shared" si="7"/>
        <v>111</v>
      </c>
      <c r="S41" s="77">
        <f t="shared" si="8"/>
        <v>0.59459459459459463</v>
      </c>
      <c r="T41" s="82">
        <f t="shared" si="4"/>
        <v>24.625</v>
      </c>
    </row>
    <row r="42" spans="1:21" x14ac:dyDescent="0.2">
      <c r="A42" s="2" t="s">
        <v>151</v>
      </c>
      <c r="B42" s="2" t="s">
        <v>50</v>
      </c>
      <c r="C42" s="2" t="s">
        <v>131</v>
      </c>
      <c r="D42" s="3">
        <v>41791</v>
      </c>
      <c r="E42" s="4" t="s">
        <v>39</v>
      </c>
      <c r="F42" s="5">
        <v>7.6</v>
      </c>
      <c r="G42" s="5">
        <v>6.6</v>
      </c>
      <c r="H42" s="5">
        <v>0.8</v>
      </c>
      <c r="I42" s="2">
        <v>17</v>
      </c>
      <c r="J42" s="6">
        <f t="shared" si="5"/>
        <v>2.236842105263158</v>
      </c>
      <c r="K42" s="2">
        <v>578</v>
      </c>
      <c r="L42" s="6">
        <f t="shared" si="6"/>
        <v>76.05263157894737</v>
      </c>
      <c r="M42" s="7">
        <v>347</v>
      </c>
      <c r="N42" s="2">
        <v>20</v>
      </c>
      <c r="O42" s="2">
        <v>40</v>
      </c>
      <c r="P42" s="2">
        <v>35</v>
      </c>
      <c r="Q42" s="2">
        <v>15</v>
      </c>
      <c r="R42" s="7">
        <f t="shared" si="7"/>
        <v>110</v>
      </c>
      <c r="S42" s="77">
        <f t="shared" si="8"/>
        <v>0.54545454545454541</v>
      </c>
      <c r="T42" s="82">
        <f t="shared" si="4"/>
        <v>20.411764705882351</v>
      </c>
    </row>
    <row r="43" spans="1:21" x14ac:dyDescent="0.2">
      <c r="A43" s="2" t="s">
        <v>151</v>
      </c>
      <c r="B43" s="2" t="s">
        <v>100</v>
      </c>
      <c r="C43" s="2" t="s">
        <v>130</v>
      </c>
      <c r="D43" s="3">
        <v>41791</v>
      </c>
      <c r="E43" s="4" t="s">
        <v>32</v>
      </c>
      <c r="F43" s="5">
        <v>7.9</v>
      </c>
      <c r="G43" s="5">
        <v>6.9</v>
      </c>
      <c r="H43" s="5">
        <v>0.3</v>
      </c>
      <c r="I43" s="2">
        <v>23</v>
      </c>
      <c r="J43" s="6">
        <f t="shared" si="5"/>
        <v>2.9113924050632911</v>
      </c>
      <c r="K43" s="2">
        <v>782</v>
      </c>
      <c r="L43" s="6">
        <f t="shared" si="6"/>
        <v>98.987341772151893</v>
      </c>
      <c r="M43" s="7">
        <v>371</v>
      </c>
      <c r="N43" s="2">
        <v>29</v>
      </c>
      <c r="O43" s="2">
        <v>30</v>
      </c>
      <c r="P43" s="2">
        <v>38</v>
      </c>
      <c r="Q43" s="2">
        <v>12</v>
      </c>
      <c r="R43" s="7">
        <f t="shared" si="7"/>
        <v>109</v>
      </c>
      <c r="S43" s="77">
        <f t="shared" si="8"/>
        <v>0.54128440366972475</v>
      </c>
      <c r="T43" s="82">
        <f t="shared" si="4"/>
        <v>16.130434782608695</v>
      </c>
    </row>
    <row r="44" spans="1:21" x14ac:dyDescent="0.2">
      <c r="A44" s="2" t="s">
        <v>151</v>
      </c>
      <c r="B44" s="2" t="s">
        <v>49</v>
      </c>
      <c r="C44" s="2" t="s">
        <v>131</v>
      </c>
      <c r="D44" s="3">
        <v>41791</v>
      </c>
      <c r="E44" s="4" t="s">
        <v>19</v>
      </c>
      <c r="F44" s="5">
        <v>7.6</v>
      </c>
      <c r="G44" s="5">
        <v>6.6</v>
      </c>
      <c r="H44" s="5">
        <v>0.6</v>
      </c>
      <c r="I44" s="2">
        <v>17</v>
      </c>
      <c r="J44" s="6">
        <f t="shared" si="5"/>
        <v>2.236842105263158</v>
      </c>
      <c r="K44" s="2">
        <v>578</v>
      </c>
      <c r="L44" s="6">
        <f t="shared" si="6"/>
        <v>76.05263157894737</v>
      </c>
      <c r="M44" s="7">
        <v>398</v>
      </c>
      <c r="N44" s="2">
        <v>28</v>
      </c>
      <c r="O44" s="2">
        <v>31</v>
      </c>
      <c r="P44" s="2">
        <v>32</v>
      </c>
      <c r="Q44" s="2">
        <v>10</v>
      </c>
      <c r="R44" s="7">
        <f t="shared" si="7"/>
        <v>101</v>
      </c>
      <c r="S44" s="77">
        <f t="shared" si="8"/>
        <v>0.58415841584158412</v>
      </c>
      <c r="T44" s="82">
        <f t="shared" si="4"/>
        <v>23.411764705882351</v>
      </c>
    </row>
    <row r="45" spans="1:21" x14ac:dyDescent="0.2">
      <c r="A45" s="2" t="s">
        <v>151</v>
      </c>
      <c r="B45" s="2" t="s">
        <v>88</v>
      </c>
      <c r="C45" s="2" t="s">
        <v>130</v>
      </c>
      <c r="D45" s="3">
        <v>41791</v>
      </c>
      <c r="E45" s="4" t="s">
        <v>23</v>
      </c>
      <c r="F45" s="5">
        <v>7.9</v>
      </c>
      <c r="G45" s="5">
        <v>6.9</v>
      </c>
      <c r="H45" s="5">
        <v>0.2</v>
      </c>
      <c r="I45" s="2">
        <v>22</v>
      </c>
      <c r="J45" s="6">
        <f t="shared" si="5"/>
        <v>2.7848101265822782</v>
      </c>
      <c r="K45" s="2">
        <v>748</v>
      </c>
      <c r="L45" s="6">
        <f t="shared" si="6"/>
        <v>94.683544303797461</v>
      </c>
      <c r="M45" s="7">
        <v>377</v>
      </c>
      <c r="N45" s="2">
        <v>27</v>
      </c>
      <c r="O45" s="2">
        <v>30</v>
      </c>
      <c r="P45" s="2">
        <v>34</v>
      </c>
      <c r="Q45" s="2">
        <v>10</v>
      </c>
      <c r="R45" s="7">
        <f t="shared" si="7"/>
        <v>101</v>
      </c>
      <c r="S45" s="77">
        <f t="shared" si="8"/>
        <v>0.5643564356435643</v>
      </c>
      <c r="T45" s="82">
        <f t="shared" si="4"/>
        <v>17.136363636363637</v>
      </c>
    </row>
    <row r="46" spans="1:21" x14ac:dyDescent="0.2">
      <c r="A46" s="2" t="s">
        <v>151</v>
      </c>
      <c r="B46" s="2" t="s">
        <v>120</v>
      </c>
      <c r="C46" s="2" t="s">
        <v>130</v>
      </c>
      <c r="D46" s="3">
        <v>41791</v>
      </c>
      <c r="E46" s="4" t="s">
        <v>23</v>
      </c>
      <c r="F46" s="5">
        <v>7</v>
      </c>
      <c r="G46" s="5">
        <v>6</v>
      </c>
      <c r="H46" s="5">
        <v>0.2</v>
      </c>
      <c r="I46" s="2">
        <v>23</v>
      </c>
      <c r="J46" s="6">
        <f t="shared" si="5"/>
        <v>3.2857142857142856</v>
      </c>
      <c r="K46" s="2">
        <v>782</v>
      </c>
      <c r="L46" s="6">
        <f t="shared" si="6"/>
        <v>111.71428571428571</v>
      </c>
      <c r="M46" s="7">
        <v>368</v>
      </c>
      <c r="N46" s="2">
        <v>30</v>
      </c>
      <c r="O46" s="2">
        <v>40</v>
      </c>
      <c r="P46" s="2">
        <v>38</v>
      </c>
      <c r="Q46" s="2">
        <v>15</v>
      </c>
      <c r="R46" s="7">
        <f t="shared" si="7"/>
        <v>123</v>
      </c>
      <c r="S46" s="77">
        <f t="shared" si="8"/>
        <v>0.56910569105691056</v>
      </c>
      <c r="T46" s="82">
        <f t="shared" si="4"/>
        <v>16</v>
      </c>
    </row>
    <row r="47" spans="1:21" x14ac:dyDescent="0.2">
      <c r="A47" s="2" t="s">
        <v>151</v>
      </c>
      <c r="B47" s="2" t="s">
        <v>126</v>
      </c>
      <c r="C47" s="2" t="s">
        <v>131</v>
      </c>
      <c r="D47" s="3">
        <v>41791</v>
      </c>
      <c r="E47" s="4" t="s">
        <v>26</v>
      </c>
      <c r="F47" s="5">
        <v>7.3</v>
      </c>
      <c r="G47" s="5">
        <v>6.3</v>
      </c>
      <c r="H47" s="5">
        <v>0.70000000000000018</v>
      </c>
      <c r="I47" s="2">
        <v>25</v>
      </c>
      <c r="J47" s="6">
        <f t="shared" si="5"/>
        <v>3.4246575342465753</v>
      </c>
      <c r="K47" s="2">
        <v>850</v>
      </c>
      <c r="L47" s="6">
        <f t="shared" si="6"/>
        <v>116.43835616438356</v>
      </c>
      <c r="M47" s="7">
        <v>338</v>
      </c>
      <c r="N47" s="2">
        <v>24</v>
      </c>
      <c r="O47" s="2">
        <v>34</v>
      </c>
      <c r="P47" s="2">
        <v>33</v>
      </c>
      <c r="Q47" s="2">
        <v>12</v>
      </c>
      <c r="R47" s="7">
        <f t="shared" si="7"/>
        <v>103</v>
      </c>
      <c r="S47" s="77">
        <f t="shared" si="8"/>
        <v>0.56310679611650483</v>
      </c>
      <c r="T47" s="82">
        <f t="shared" si="4"/>
        <v>13.52</v>
      </c>
    </row>
    <row r="48" spans="1:21" x14ac:dyDescent="0.2">
      <c r="A48" s="2" t="s">
        <v>151</v>
      </c>
      <c r="B48" s="2" t="s">
        <v>105</v>
      </c>
      <c r="C48" s="2" t="s">
        <v>130</v>
      </c>
      <c r="D48" s="3">
        <v>41791</v>
      </c>
      <c r="E48" s="4" t="s">
        <v>30</v>
      </c>
      <c r="F48" s="5">
        <v>8</v>
      </c>
      <c r="G48" s="5">
        <v>7</v>
      </c>
      <c r="H48" s="5">
        <v>0.5</v>
      </c>
      <c r="I48" s="2">
        <v>24</v>
      </c>
      <c r="J48" s="6">
        <f t="shared" si="5"/>
        <v>3</v>
      </c>
      <c r="K48" s="2">
        <v>816</v>
      </c>
      <c r="L48" s="6">
        <f t="shared" si="6"/>
        <v>102</v>
      </c>
      <c r="M48" s="7">
        <v>339</v>
      </c>
      <c r="N48" s="2">
        <v>30</v>
      </c>
      <c r="O48" s="2">
        <v>40</v>
      </c>
      <c r="P48" s="2">
        <v>30</v>
      </c>
      <c r="Q48" s="2">
        <v>11</v>
      </c>
      <c r="R48" s="7">
        <f t="shared" si="7"/>
        <v>111</v>
      </c>
      <c r="S48" s="77">
        <f t="shared" si="8"/>
        <v>0.63063063063063063</v>
      </c>
      <c r="T48" s="82">
        <f t="shared" si="4"/>
        <v>14.125</v>
      </c>
    </row>
    <row r="49" spans="1:20" x14ac:dyDescent="0.2">
      <c r="A49" s="2" t="s">
        <v>151</v>
      </c>
      <c r="B49" s="2" t="s">
        <v>86</v>
      </c>
      <c r="C49" s="2" t="s">
        <v>130</v>
      </c>
      <c r="D49" s="3">
        <v>41791</v>
      </c>
      <c r="E49" s="4" t="s">
        <v>30</v>
      </c>
      <c r="F49" s="5">
        <v>8.3000000000000007</v>
      </c>
      <c r="G49" s="5">
        <v>7.3000000000000007</v>
      </c>
      <c r="H49" s="5">
        <v>0.5</v>
      </c>
      <c r="I49" s="2">
        <v>23</v>
      </c>
      <c r="J49" s="6">
        <f t="shared" si="5"/>
        <v>2.7710843373493974</v>
      </c>
      <c r="K49" s="2">
        <v>782</v>
      </c>
      <c r="L49" s="6">
        <f t="shared" si="6"/>
        <v>94.216867469879503</v>
      </c>
      <c r="M49" s="7">
        <v>320</v>
      </c>
      <c r="N49" s="2">
        <v>23</v>
      </c>
      <c r="O49" s="2">
        <v>30</v>
      </c>
      <c r="P49" s="2">
        <v>39</v>
      </c>
      <c r="Q49" s="2">
        <v>12</v>
      </c>
      <c r="R49" s="7">
        <f t="shared" si="7"/>
        <v>104</v>
      </c>
      <c r="S49" s="77">
        <f t="shared" si="8"/>
        <v>0.50961538461538458</v>
      </c>
      <c r="T49" s="82">
        <f t="shared" si="4"/>
        <v>13.913043478260869</v>
      </c>
    </row>
    <row r="50" spans="1:20" x14ac:dyDescent="0.2">
      <c r="A50" s="2" t="s">
        <v>151</v>
      </c>
      <c r="B50" s="2" t="s">
        <v>25</v>
      </c>
      <c r="C50" s="2" t="s">
        <v>131</v>
      </c>
      <c r="D50" s="3">
        <v>41791</v>
      </c>
      <c r="E50" s="4" t="s">
        <v>26</v>
      </c>
      <c r="F50" s="5">
        <v>8.3000000000000007</v>
      </c>
      <c r="G50" s="5">
        <v>7.3000000000000007</v>
      </c>
      <c r="H50" s="5">
        <v>0.70000000000000018</v>
      </c>
      <c r="I50" s="2">
        <v>16</v>
      </c>
      <c r="J50" s="6">
        <f t="shared" si="5"/>
        <v>1.9277108433734937</v>
      </c>
      <c r="K50" s="2">
        <v>544</v>
      </c>
      <c r="L50" s="6">
        <f t="shared" si="6"/>
        <v>65.542168674698786</v>
      </c>
      <c r="M50" s="7">
        <v>395</v>
      </c>
      <c r="N50" s="2">
        <v>23</v>
      </c>
      <c r="O50" s="2">
        <v>35</v>
      </c>
      <c r="P50" s="2">
        <v>37</v>
      </c>
      <c r="Q50" s="2">
        <v>12</v>
      </c>
      <c r="R50" s="7">
        <f t="shared" si="7"/>
        <v>107</v>
      </c>
      <c r="S50" s="77">
        <f t="shared" si="8"/>
        <v>0.54205607476635509</v>
      </c>
      <c r="T50" s="82">
        <f t="shared" si="4"/>
        <v>24.6875</v>
      </c>
    </row>
    <row r="51" spans="1:20" x14ac:dyDescent="0.2">
      <c r="A51" s="2" t="s">
        <v>151</v>
      </c>
      <c r="B51" s="2" t="s">
        <v>125</v>
      </c>
      <c r="C51" s="2" t="s">
        <v>131</v>
      </c>
      <c r="D51" s="3">
        <v>41791</v>
      </c>
      <c r="E51" s="4" t="s">
        <v>19</v>
      </c>
      <c r="F51" s="5">
        <v>7.5</v>
      </c>
      <c r="G51" s="5">
        <v>6.5</v>
      </c>
      <c r="H51" s="5">
        <v>0.6</v>
      </c>
      <c r="I51" s="2">
        <v>25</v>
      </c>
      <c r="J51" s="6">
        <f t="shared" si="5"/>
        <v>3.3333333333333335</v>
      </c>
      <c r="K51" s="2">
        <v>850</v>
      </c>
      <c r="L51" s="6">
        <f t="shared" si="6"/>
        <v>113.33333333333333</v>
      </c>
      <c r="M51" s="7">
        <v>353</v>
      </c>
      <c r="N51" s="2">
        <v>22</v>
      </c>
      <c r="O51" s="2">
        <v>31</v>
      </c>
      <c r="P51" s="2">
        <v>37</v>
      </c>
      <c r="Q51" s="2">
        <v>13</v>
      </c>
      <c r="R51" s="7">
        <f t="shared" si="7"/>
        <v>103</v>
      </c>
      <c r="S51" s="77">
        <f t="shared" si="8"/>
        <v>0.5145631067961165</v>
      </c>
      <c r="T51" s="82">
        <f t="shared" si="4"/>
        <v>14.12</v>
      </c>
    </row>
    <row r="52" spans="1:20" x14ac:dyDescent="0.2">
      <c r="A52" s="2" t="s">
        <v>152</v>
      </c>
      <c r="B52" s="2" t="s">
        <v>22</v>
      </c>
      <c r="C52" s="2" t="s">
        <v>130</v>
      </c>
      <c r="D52" s="3">
        <v>41791</v>
      </c>
      <c r="E52" s="4" t="s">
        <v>23</v>
      </c>
      <c r="F52" s="5">
        <v>7.9</v>
      </c>
      <c r="G52" s="5">
        <v>6.9</v>
      </c>
      <c r="H52" s="5">
        <v>0.2</v>
      </c>
      <c r="I52" s="2">
        <v>15</v>
      </c>
      <c r="J52" s="6">
        <f t="shared" si="5"/>
        <v>1.8987341772151898</v>
      </c>
      <c r="K52" s="2">
        <v>510</v>
      </c>
      <c r="L52" s="6">
        <f t="shared" si="6"/>
        <v>64.556962025316452</v>
      </c>
      <c r="M52" s="7">
        <v>357</v>
      </c>
      <c r="N52" s="2">
        <v>27</v>
      </c>
      <c r="O52" s="2">
        <v>30</v>
      </c>
      <c r="P52" s="2">
        <v>31</v>
      </c>
      <c r="Q52" s="2">
        <v>12</v>
      </c>
      <c r="R52" s="7">
        <f t="shared" si="7"/>
        <v>100</v>
      </c>
      <c r="S52" s="77">
        <f t="shared" si="8"/>
        <v>0.56999999999999995</v>
      </c>
      <c r="T52" s="82">
        <f t="shared" si="4"/>
        <v>23.8</v>
      </c>
    </row>
    <row r="53" spans="1:20" x14ac:dyDescent="0.2">
      <c r="A53" s="2" t="s">
        <v>152</v>
      </c>
      <c r="B53" s="2" t="s">
        <v>63</v>
      </c>
      <c r="C53" s="2" t="s">
        <v>130</v>
      </c>
      <c r="D53" s="3">
        <v>41791</v>
      </c>
      <c r="E53" s="4" t="s">
        <v>32</v>
      </c>
      <c r="F53" s="5">
        <v>8.3000000000000007</v>
      </c>
      <c r="G53" s="5">
        <v>7.3000000000000007</v>
      </c>
      <c r="H53" s="5">
        <v>0.3</v>
      </c>
      <c r="I53" s="2">
        <v>20</v>
      </c>
      <c r="J53" s="6">
        <f t="shared" si="5"/>
        <v>2.4096385542168672</v>
      </c>
      <c r="K53" s="2">
        <v>680</v>
      </c>
      <c r="L53" s="6">
        <f t="shared" si="6"/>
        <v>81.92771084337349</v>
      </c>
      <c r="M53" s="7">
        <v>307</v>
      </c>
      <c r="N53" s="2">
        <v>28</v>
      </c>
      <c r="O53" s="2">
        <v>33</v>
      </c>
      <c r="P53" s="2">
        <v>32</v>
      </c>
      <c r="Q53" s="2">
        <v>12</v>
      </c>
      <c r="R53" s="7">
        <f t="shared" si="7"/>
        <v>105</v>
      </c>
      <c r="S53" s="77">
        <f t="shared" si="8"/>
        <v>0.580952380952381</v>
      </c>
      <c r="T53" s="82">
        <f t="shared" si="4"/>
        <v>15.35</v>
      </c>
    </row>
    <row r="54" spans="1:20" x14ac:dyDescent="0.2">
      <c r="A54" s="2" t="s">
        <v>152</v>
      </c>
      <c r="B54" s="2" t="s">
        <v>45</v>
      </c>
      <c r="C54" s="2" t="s">
        <v>130</v>
      </c>
      <c r="D54" s="3">
        <v>41791</v>
      </c>
      <c r="E54" s="4" t="s">
        <v>23</v>
      </c>
      <c r="F54" s="5">
        <v>7.6</v>
      </c>
      <c r="G54" s="5">
        <v>6.6</v>
      </c>
      <c r="H54" s="5">
        <v>0.2</v>
      </c>
      <c r="I54" s="2">
        <v>16</v>
      </c>
      <c r="J54" s="6">
        <f t="shared" si="5"/>
        <v>2.1052631578947367</v>
      </c>
      <c r="K54" s="2">
        <v>544</v>
      </c>
      <c r="L54" s="6">
        <f t="shared" si="6"/>
        <v>71.578947368421055</v>
      </c>
      <c r="M54" s="7">
        <v>336</v>
      </c>
      <c r="N54" s="2">
        <v>23</v>
      </c>
      <c r="O54" s="2">
        <v>38</v>
      </c>
      <c r="P54" s="2">
        <v>35</v>
      </c>
      <c r="Q54" s="2">
        <v>10</v>
      </c>
      <c r="R54" s="7">
        <f t="shared" si="7"/>
        <v>106</v>
      </c>
      <c r="S54" s="77">
        <f t="shared" si="8"/>
        <v>0.57547169811320753</v>
      </c>
      <c r="T54" s="82">
        <f t="shared" si="4"/>
        <v>21</v>
      </c>
    </row>
    <row r="55" spans="1:20" x14ac:dyDescent="0.2">
      <c r="A55" s="2" t="s">
        <v>152</v>
      </c>
      <c r="B55" s="2" t="s">
        <v>74</v>
      </c>
      <c r="C55" s="2" t="s">
        <v>130</v>
      </c>
      <c r="D55" s="3">
        <v>41791</v>
      </c>
      <c r="E55" s="4" t="s">
        <v>32</v>
      </c>
      <c r="F55" s="5">
        <v>7.3</v>
      </c>
      <c r="G55" s="5">
        <v>6.3</v>
      </c>
      <c r="H55" s="5">
        <v>0.3</v>
      </c>
      <c r="I55" s="2">
        <v>19</v>
      </c>
      <c r="J55" s="6">
        <f t="shared" si="5"/>
        <v>2.6027397260273974</v>
      </c>
      <c r="K55" s="2">
        <v>646</v>
      </c>
      <c r="L55" s="6">
        <f t="shared" si="6"/>
        <v>88.493150684931507</v>
      </c>
      <c r="M55" s="7">
        <v>316</v>
      </c>
      <c r="N55" s="2">
        <v>30</v>
      </c>
      <c r="O55" s="2">
        <v>40</v>
      </c>
      <c r="P55" s="2">
        <v>36</v>
      </c>
      <c r="Q55" s="2">
        <v>15</v>
      </c>
      <c r="R55" s="7">
        <f t="shared" si="7"/>
        <v>121</v>
      </c>
      <c r="S55" s="77">
        <f t="shared" si="8"/>
        <v>0.57851239669421484</v>
      </c>
      <c r="T55" s="82">
        <f t="shared" si="4"/>
        <v>16.631578947368421</v>
      </c>
    </row>
    <row r="56" spans="1:20" x14ac:dyDescent="0.2">
      <c r="A56" s="2" t="s">
        <v>152</v>
      </c>
      <c r="B56" s="2" t="s">
        <v>75</v>
      </c>
      <c r="C56" s="2" t="s">
        <v>131</v>
      </c>
      <c r="D56" s="3">
        <v>41791</v>
      </c>
      <c r="E56" s="4" t="s">
        <v>39</v>
      </c>
      <c r="F56" s="5">
        <v>7.3</v>
      </c>
      <c r="G56" s="5">
        <v>6.3</v>
      </c>
      <c r="H56" s="5">
        <v>0.8</v>
      </c>
      <c r="I56" s="2">
        <v>19</v>
      </c>
      <c r="J56" s="6">
        <f t="shared" si="5"/>
        <v>2.6027397260273974</v>
      </c>
      <c r="K56" s="2">
        <v>646</v>
      </c>
      <c r="L56" s="6">
        <f t="shared" si="6"/>
        <v>88.493150684931507</v>
      </c>
      <c r="M56" s="7">
        <v>378</v>
      </c>
      <c r="N56" s="2">
        <v>24</v>
      </c>
      <c r="O56" s="2">
        <v>35</v>
      </c>
      <c r="P56" s="2">
        <v>37</v>
      </c>
      <c r="Q56" s="2">
        <v>13</v>
      </c>
      <c r="R56" s="7">
        <f t="shared" si="7"/>
        <v>109</v>
      </c>
      <c r="S56" s="77">
        <f t="shared" si="8"/>
        <v>0.54128440366972475</v>
      </c>
      <c r="T56" s="82">
        <f t="shared" si="4"/>
        <v>19.894736842105264</v>
      </c>
    </row>
    <row r="57" spans="1:20" x14ac:dyDescent="0.2">
      <c r="A57" s="2" t="s">
        <v>152</v>
      </c>
      <c r="B57" s="2" t="s">
        <v>94</v>
      </c>
      <c r="C57" s="2" t="s">
        <v>131</v>
      </c>
      <c r="D57" s="3">
        <v>41791</v>
      </c>
      <c r="E57" s="4" t="s">
        <v>26</v>
      </c>
      <c r="F57" s="5">
        <v>8</v>
      </c>
      <c r="G57" s="5">
        <v>7</v>
      </c>
      <c r="H57" s="5">
        <v>0.70000000000000018</v>
      </c>
      <c r="I57" s="2">
        <v>23</v>
      </c>
      <c r="J57" s="6">
        <f t="shared" si="5"/>
        <v>2.875</v>
      </c>
      <c r="K57" s="2">
        <v>782</v>
      </c>
      <c r="L57" s="6">
        <f t="shared" si="6"/>
        <v>97.75</v>
      </c>
      <c r="M57" s="7">
        <v>334</v>
      </c>
      <c r="N57" s="2">
        <v>30</v>
      </c>
      <c r="O57" s="2">
        <v>38</v>
      </c>
      <c r="P57" s="2">
        <v>30</v>
      </c>
      <c r="Q57" s="2">
        <v>11</v>
      </c>
      <c r="R57" s="7">
        <f t="shared" si="7"/>
        <v>109</v>
      </c>
      <c r="S57" s="77">
        <f t="shared" si="8"/>
        <v>0.62385321100917435</v>
      </c>
      <c r="T57" s="82">
        <f t="shared" si="4"/>
        <v>14.521739130434783</v>
      </c>
    </row>
    <row r="58" spans="1:20" x14ac:dyDescent="0.2">
      <c r="A58" s="2" t="s">
        <v>152</v>
      </c>
      <c r="B58" s="2" t="s">
        <v>102</v>
      </c>
      <c r="C58" s="2" t="s">
        <v>130</v>
      </c>
      <c r="D58" s="3">
        <v>41791</v>
      </c>
      <c r="E58" s="4" t="s">
        <v>30</v>
      </c>
      <c r="F58" s="5">
        <v>7.5</v>
      </c>
      <c r="G58" s="5">
        <v>6.5</v>
      </c>
      <c r="H58" s="5">
        <v>0.5</v>
      </c>
      <c r="I58" s="2">
        <v>22</v>
      </c>
      <c r="J58" s="6">
        <f t="shared" si="5"/>
        <v>2.9333333333333331</v>
      </c>
      <c r="K58" s="2">
        <v>748</v>
      </c>
      <c r="L58" s="6">
        <f t="shared" si="6"/>
        <v>99.733333333333334</v>
      </c>
      <c r="M58" s="7">
        <v>389</v>
      </c>
      <c r="N58" s="2">
        <v>20</v>
      </c>
      <c r="O58" s="2">
        <v>39</v>
      </c>
      <c r="P58" s="2">
        <v>39</v>
      </c>
      <c r="Q58" s="2">
        <v>13</v>
      </c>
      <c r="R58" s="7">
        <f t="shared" si="7"/>
        <v>111</v>
      </c>
      <c r="S58" s="77">
        <f t="shared" si="8"/>
        <v>0.53153153153153154</v>
      </c>
      <c r="T58" s="82">
        <f t="shared" si="4"/>
        <v>17.681818181818183</v>
      </c>
    </row>
    <row r="59" spans="1:20" x14ac:dyDescent="0.2">
      <c r="A59" s="2" t="s">
        <v>152</v>
      </c>
      <c r="B59" s="2" t="s">
        <v>92</v>
      </c>
      <c r="C59" s="2" t="s">
        <v>131</v>
      </c>
      <c r="D59" s="3">
        <v>41791</v>
      </c>
      <c r="E59" s="4" t="s">
        <v>19</v>
      </c>
      <c r="F59" s="5">
        <v>7</v>
      </c>
      <c r="G59" s="5">
        <v>6</v>
      </c>
      <c r="H59" s="5">
        <v>0.6</v>
      </c>
      <c r="I59" s="2">
        <v>20</v>
      </c>
      <c r="J59" s="6">
        <f t="shared" si="5"/>
        <v>2.8571428571428572</v>
      </c>
      <c r="K59" s="2">
        <v>680</v>
      </c>
      <c r="L59" s="6">
        <f t="shared" si="6"/>
        <v>97.142857142857139</v>
      </c>
      <c r="M59" s="7">
        <v>333</v>
      </c>
      <c r="N59" s="2">
        <v>20</v>
      </c>
      <c r="O59" s="2">
        <v>31</v>
      </c>
      <c r="P59" s="2">
        <v>34</v>
      </c>
      <c r="Q59" s="2">
        <v>13</v>
      </c>
      <c r="R59" s="7">
        <f t="shared" si="7"/>
        <v>98</v>
      </c>
      <c r="S59" s="77">
        <f t="shared" si="8"/>
        <v>0.52040816326530615</v>
      </c>
      <c r="T59" s="82">
        <f t="shared" si="4"/>
        <v>16.649999999999999</v>
      </c>
    </row>
    <row r="60" spans="1:20" x14ac:dyDescent="0.2">
      <c r="A60" s="2" t="s">
        <v>152</v>
      </c>
      <c r="B60" s="2" t="s">
        <v>115</v>
      </c>
      <c r="C60" s="2" t="s">
        <v>131</v>
      </c>
      <c r="D60" s="3">
        <v>41791</v>
      </c>
      <c r="E60" s="4" t="s">
        <v>39</v>
      </c>
      <c r="F60" s="5">
        <v>7.9</v>
      </c>
      <c r="G60" s="5">
        <v>6.9</v>
      </c>
      <c r="H60" s="5">
        <v>0.8</v>
      </c>
      <c r="I60" s="2">
        <v>25</v>
      </c>
      <c r="J60" s="6">
        <f t="shared" si="5"/>
        <v>3.1645569620253164</v>
      </c>
      <c r="K60" s="2">
        <v>850</v>
      </c>
      <c r="L60" s="6">
        <f t="shared" si="6"/>
        <v>107.59493670886076</v>
      </c>
      <c r="M60" s="7">
        <v>383</v>
      </c>
      <c r="N60" s="2">
        <v>30</v>
      </c>
      <c r="O60" s="2">
        <v>30</v>
      </c>
      <c r="P60" s="2">
        <v>36</v>
      </c>
      <c r="Q60" s="2">
        <v>10</v>
      </c>
      <c r="R60" s="7">
        <f t="shared" si="7"/>
        <v>106</v>
      </c>
      <c r="S60" s="77">
        <f t="shared" si="8"/>
        <v>0.56603773584905659</v>
      </c>
      <c r="T60" s="82">
        <f t="shared" si="4"/>
        <v>15.32</v>
      </c>
    </row>
    <row r="61" spans="1:20" x14ac:dyDescent="0.2">
      <c r="A61" s="2" t="s">
        <v>152</v>
      </c>
      <c r="B61" s="2" t="s">
        <v>59</v>
      </c>
      <c r="C61" s="2" t="s">
        <v>131</v>
      </c>
      <c r="D61" s="3">
        <v>41791</v>
      </c>
      <c r="E61" s="4" t="s">
        <v>19</v>
      </c>
      <c r="F61" s="5">
        <v>7.6</v>
      </c>
      <c r="G61" s="5">
        <v>6.6</v>
      </c>
      <c r="H61" s="5">
        <v>0.6</v>
      </c>
      <c r="I61" s="2">
        <v>18</v>
      </c>
      <c r="J61" s="6">
        <f t="shared" si="5"/>
        <v>2.3684210526315792</v>
      </c>
      <c r="K61" s="2">
        <v>612</v>
      </c>
      <c r="L61" s="6">
        <f t="shared" si="6"/>
        <v>80.526315789473685</v>
      </c>
      <c r="M61" s="7">
        <v>370</v>
      </c>
      <c r="N61" s="2">
        <v>22</v>
      </c>
      <c r="O61" s="2">
        <v>33</v>
      </c>
      <c r="P61" s="2">
        <v>32</v>
      </c>
      <c r="Q61" s="2">
        <v>15</v>
      </c>
      <c r="R61" s="7">
        <f t="shared" si="7"/>
        <v>102</v>
      </c>
      <c r="S61" s="77">
        <f t="shared" si="8"/>
        <v>0.53921568627450978</v>
      </c>
      <c r="T61" s="82">
        <f t="shared" si="4"/>
        <v>20.555555555555557</v>
      </c>
    </row>
    <row r="62" spans="1:20" x14ac:dyDescent="0.2">
      <c r="A62" s="2" t="s">
        <v>153</v>
      </c>
      <c r="B62" s="2" t="s">
        <v>99</v>
      </c>
      <c r="C62" s="2" t="s">
        <v>130</v>
      </c>
      <c r="D62" s="3">
        <v>41791</v>
      </c>
      <c r="E62" s="4" t="s">
        <v>30</v>
      </c>
      <c r="F62" s="5">
        <v>7.6</v>
      </c>
      <c r="G62" s="5">
        <v>6.6</v>
      </c>
      <c r="H62" s="5">
        <v>0.5</v>
      </c>
      <c r="I62" s="2">
        <v>22</v>
      </c>
      <c r="J62" s="6">
        <f t="shared" si="5"/>
        <v>2.8947368421052633</v>
      </c>
      <c r="K62" s="2">
        <v>748</v>
      </c>
      <c r="L62" s="6">
        <f t="shared" si="6"/>
        <v>98.421052631578945</v>
      </c>
      <c r="M62" s="7">
        <v>396</v>
      </c>
      <c r="N62" s="2">
        <v>27</v>
      </c>
      <c r="O62" s="2">
        <v>30</v>
      </c>
      <c r="P62" s="2">
        <v>38</v>
      </c>
      <c r="Q62" s="2">
        <v>15</v>
      </c>
      <c r="R62" s="7">
        <f t="shared" si="7"/>
        <v>110</v>
      </c>
      <c r="S62" s="77">
        <f t="shared" si="8"/>
        <v>0.51818181818181819</v>
      </c>
      <c r="T62" s="82">
        <f t="shared" si="4"/>
        <v>18</v>
      </c>
    </row>
    <row r="63" spans="1:20" x14ac:dyDescent="0.2">
      <c r="A63" s="2" t="s">
        <v>153</v>
      </c>
      <c r="B63" s="2" t="s">
        <v>64</v>
      </c>
      <c r="C63" s="2" t="s">
        <v>131</v>
      </c>
      <c r="D63" s="3">
        <v>41791</v>
      </c>
      <c r="E63" s="4" t="s">
        <v>39</v>
      </c>
      <c r="F63" s="5">
        <v>8.3000000000000007</v>
      </c>
      <c r="G63" s="5">
        <v>7.3000000000000007</v>
      </c>
      <c r="H63" s="5">
        <v>0.8</v>
      </c>
      <c r="I63" s="2">
        <v>20</v>
      </c>
      <c r="J63" s="6">
        <f t="shared" si="5"/>
        <v>2.4096385542168672</v>
      </c>
      <c r="K63" s="2">
        <v>680</v>
      </c>
      <c r="L63" s="6">
        <f t="shared" si="6"/>
        <v>81.92771084337349</v>
      </c>
      <c r="M63" s="7">
        <v>390</v>
      </c>
      <c r="N63" s="2">
        <v>21</v>
      </c>
      <c r="O63" s="2">
        <v>33</v>
      </c>
      <c r="P63" s="2">
        <v>35</v>
      </c>
      <c r="Q63" s="2">
        <v>13</v>
      </c>
      <c r="R63" s="7">
        <f t="shared" si="7"/>
        <v>102</v>
      </c>
      <c r="S63" s="77">
        <f t="shared" si="8"/>
        <v>0.52941176470588236</v>
      </c>
      <c r="T63" s="82">
        <f t="shared" si="4"/>
        <v>19.5</v>
      </c>
    </row>
    <row r="64" spans="1:20" x14ac:dyDescent="0.2">
      <c r="A64" s="2" t="s">
        <v>153</v>
      </c>
      <c r="B64" s="2" t="s">
        <v>106</v>
      </c>
      <c r="C64" s="2" t="s">
        <v>130</v>
      </c>
      <c r="D64" s="3">
        <v>41791</v>
      </c>
      <c r="E64" s="4" t="s">
        <v>30</v>
      </c>
      <c r="F64" s="5">
        <v>7</v>
      </c>
      <c r="G64" s="5">
        <v>6</v>
      </c>
      <c r="H64" s="5">
        <v>0.5</v>
      </c>
      <c r="I64" s="2">
        <v>21</v>
      </c>
      <c r="J64" s="6">
        <f t="shared" si="5"/>
        <v>3</v>
      </c>
      <c r="K64" s="2">
        <v>714</v>
      </c>
      <c r="L64" s="6">
        <f t="shared" si="6"/>
        <v>102</v>
      </c>
      <c r="M64" s="7">
        <v>322</v>
      </c>
      <c r="N64" s="2">
        <v>24</v>
      </c>
      <c r="O64" s="2">
        <v>30</v>
      </c>
      <c r="P64" s="2">
        <v>32</v>
      </c>
      <c r="Q64" s="2">
        <v>14</v>
      </c>
      <c r="R64" s="7">
        <f t="shared" si="7"/>
        <v>100</v>
      </c>
      <c r="S64" s="77">
        <f t="shared" si="8"/>
        <v>0.54</v>
      </c>
      <c r="T64" s="82">
        <f t="shared" si="4"/>
        <v>15.333333333333334</v>
      </c>
    </row>
    <row r="65" spans="1:20" x14ac:dyDescent="0.2">
      <c r="A65" s="2" t="s">
        <v>153</v>
      </c>
      <c r="B65" s="2" t="s">
        <v>48</v>
      </c>
      <c r="C65" s="2" t="s">
        <v>130</v>
      </c>
      <c r="D65" s="3">
        <v>41791</v>
      </c>
      <c r="E65" s="4" t="s">
        <v>32</v>
      </c>
      <c r="F65" s="5">
        <v>7.5</v>
      </c>
      <c r="G65" s="5">
        <v>6.5</v>
      </c>
      <c r="H65" s="5">
        <v>0.3</v>
      </c>
      <c r="I65" s="2">
        <v>16</v>
      </c>
      <c r="J65" s="6">
        <f t="shared" si="5"/>
        <v>2.1333333333333333</v>
      </c>
      <c r="K65" s="2">
        <v>544</v>
      </c>
      <c r="L65" s="6">
        <f t="shared" si="6"/>
        <v>72.533333333333331</v>
      </c>
      <c r="M65" s="7">
        <v>352</v>
      </c>
      <c r="N65" s="2">
        <v>23</v>
      </c>
      <c r="O65" s="2">
        <v>39</v>
      </c>
      <c r="P65" s="2">
        <v>32</v>
      </c>
      <c r="Q65" s="2">
        <v>14</v>
      </c>
      <c r="R65" s="7">
        <f t="shared" si="7"/>
        <v>108</v>
      </c>
      <c r="S65" s="77">
        <f t="shared" si="8"/>
        <v>0.57407407407407407</v>
      </c>
      <c r="T65" s="82">
        <f t="shared" si="4"/>
        <v>22</v>
      </c>
    </row>
    <row r="66" spans="1:20" x14ac:dyDescent="0.2">
      <c r="A66" s="2" t="s">
        <v>153</v>
      </c>
      <c r="B66" s="2" t="s">
        <v>76</v>
      </c>
      <c r="C66" s="2" t="s">
        <v>130</v>
      </c>
      <c r="D66" s="3">
        <v>41791</v>
      </c>
      <c r="E66" s="4" t="s">
        <v>23</v>
      </c>
      <c r="F66" s="5">
        <v>7.3</v>
      </c>
      <c r="G66" s="5">
        <v>6.3</v>
      </c>
      <c r="H66" s="5">
        <v>0.2</v>
      </c>
      <c r="I66" s="2">
        <v>19</v>
      </c>
      <c r="J66" s="6">
        <f t="shared" ref="J66:J97" si="9">I66/F66</f>
        <v>2.6027397260273974</v>
      </c>
      <c r="K66" s="2">
        <v>646</v>
      </c>
      <c r="L66" s="6">
        <f t="shared" ref="L66:L97" si="10">K66/F66</f>
        <v>88.493150684931507</v>
      </c>
      <c r="M66" s="7">
        <v>330</v>
      </c>
      <c r="N66" s="2">
        <v>30</v>
      </c>
      <c r="O66" s="2">
        <v>33</v>
      </c>
      <c r="P66" s="2">
        <v>40</v>
      </c>
      <c r="Q66" s="2">
        <v>13</v>
      </c>
      <c r="R66" s="7">
        <f t="shared" ref="R66:R97" si="11">SUM(N66:Q66)</f>
        <v>116</v>
      </c>
      <c r="S66" s="77">
        <f t="shared" ref="S66:S97" si="12">SUM(N66:O66)/R66</f>
        <v>0.5431034482758621</v>
      </c>
      <c r="T66" s="82">
        <f t="shared" si="4"/>
        <v>17.368421052631579</v>
      </c>
    </row>
    <row r="67" spans="1:20" x14ac:dyDescent="0.2">
      <c r="A67" s="2" t="s">
        <v>153</v>
      </c>
      <c r="B67" s="2" t="s">
        <v>24</v>
      </c>
      <c r="C67" s="2" t="s">
        <v>131</v>
      </c>
      <c r="D67" s="3">
        <v>41791</v>
      </c>
      <c r="E67" s="4" t="s">
        <v>19</v>
      </c>
      <c r="F67" s="5">
        <v>7.9</v>
      </c>
      <c r="G67" s="5">
        <v>6.9</v>
      </c>
      <c r="H67" s="5">
        <v>0.6</v>
      </c>
      <c r="I67" s="2">
        <v>15</v>
      </c>
      <c r="J67" s="6">
        <f t="shared" si="9"/>
        <v>1.8987341772151898</v>
      </c>
      <c r="K67" s="2">
        <v>510</v>
      </c>
      <c r="L67" s="6">
        <f t="shared" si="10"/>
        <v>64.556962025316452</v>
      </c>
      <c r="M67" s="7">
        <v>392</v>
      </c>
      <c r="N67" s="2">
        <v>27</v>
      </c>
      <c r="O67" s="2">
        <v>30</v>
      </c>
      <c r="P67" s="2">
        <v>30</v>
      </c>
      <c r="Q67" s="2">
        <v>12</v>
      </c>
      <c r="R67" s="7">
        <f t="shared" si="11"/>
        <v>99</v>
      </c>
      <c r="S67" s="77">
        <f t="shared" si="12"/>
        <v>0.5757575757575758</v>
      </c>
      <c r="T67" s="82">
        <f t="shared" ref="T67:T103" si="13">M67/I67</f>
        <v>26.133333333333333</v>
      </c>
    </row>
    <row r="68" spans="1:20" x14ac:dyDescent="0.2">
      <c r="A68" s="2" t="s">
        <v>153</v>
      </c>
      <c r="B68" s="2" t="s">
        <v>103</v>
      </c>
      <c r="C68" s="2" t="s">
        <v>131</v>
      </c>
      <c r="D68" s="3">
        <v>41791</v>
      </c>
      <c r="E68" s="4" t="s">
        <v>26</v>
      </c>
      <c r="F68" s="5">
        <v>7.5</v>
      </c>
      <c r="G68" s="5">
        <v>6.5</v>
      </c>
      <c r="H68" s="5">
        <v>0.70000000000000018</v>
      </c>
      <c r="I68" s="2">
        <v>22</v>
      </c>
      <c r="J68" s="6">
        <f t="shared" si="9"/>
        <v>2.9333333333333331</v>
      </c>
      <c r="K68" s="2">
        <v>748</v>
      </c>
      <c r="L68" s="6">
        <f t="shared" si="10"/>
        <v>99.733333333333334</v>
      </c>
      <c r="M68" s="7">
        <v>326</v>
      </c>
      <c r="N68" s="2">
        <v>29</v>
      </c>
      <c r="O68" s="2">
        <v>33</v>
      </c>
      <c r="P68" s="2">
        <v>38</v>
      </c>
      <c r="Q68" s="2">
        <v>13</v>
      </c>
      <c r="R68" s="7">
        <f t="shared" si="11"/>
        <v>113</v>
      </c>
      <c r="S68" s="77">
        <f t="shared" si="12"/>
        <v>0.54867256637168138</v>
      </c>
      <c r="T68" s="82">
        <f t="shared" si="13"/>
        <v>14.818181818181818</v>
      </c>
    </row>
    <row r="69" spans="1:20" x14ac:dyDescent="0.2">
      <c r="A69" s="2" t="s">
        <v>153</v>
      </c>
      <c r="B69" s="2" t="s">
        <v>110</v>
      </c>
      <c r="C69" s="2" t="s">
        <v>131</v>
      </c>
      <c r="D69" s="3">
        <v>41791</v>
      </c>
      <c r="E69" s="4" t="s">
        <v>39</v>
      </c>
      <c r="F69" s="5">
        <v>8</v>
      </c>
      <c r="G69" s="5">
        <v>7</v>
      </c>
      <c r="H69" s="5">
        <v>0.8</v>
      </c>
      <c r="I69" s="2">
        <v>25</v>
      </c>
      <c r="J69" s="6">
        <f t="shared" si="9"/>
        <v>3.125</v>
      </c>
      <c r="K69" s="2">
        <v>850</v>
      </c>
      <c r="L69" s="6">
        <f t="shared" si="10"/>
        <v>106.25</v>
      </c>
      <c r="M69" s="7">
        <v>373</v>
      </c>
      <c r="N69" s="2">
        <v>28</v>
      </c>
      <c r="O69" s="2">
        <v>31</v>
      </c>
      <c r="P69" s="2">
        <v>40</v>
      </c>
      <c r="Q69" s="2">
        <v>10</v>
      </c>
      <c r="R69" s="7">
        <f t="shared" si="11"/>
        <v>109</v>
      </c>
      <c r="S69" s="77">
        <f t="shared" si="12"/>
        <v>0.54128440366972475</v>
      </c>
      <c r="T69" s="82">
        <f t="shared" si="13"/>
        <v>14.92</v>
      </c>
    </row>
    <row r="70" spans="1:20" x14ac:dyDescent="0.2">
      <c r="A70" s="2" t="s">
        <v>153</v>
      </c>
      <c r="B70" s="2" t="s">
        <v>93</v>
      </c>
      <c r="C70" s="2" t="s">
        <v>131</v>
      </c>
      <c r="D70" s="3">
        <v>41791</v>
      </c>
      <c r="E70" s="4" t="s">
        <v>26</v>
      </c>
      <c r="F70" s="5">
        <v>7</v>
      </c>
      <c r="G70" s="5">
        <v>6</v>
      </c>
      <c r="H70" s="5">
        <v>0.70000000000000018</v>
      </c>
      <c r="I70" s="2">
        <v>20</v>
      </c>
      <c r="J70" s="6">
        <f t="shared" si="9"/>
        <v>2.8571428571428572</v>
      </c>
      <c r="K70" s="2">
        <v>680</v>
      </c>
      <c r="L70" s="6">
        <f t="shared" si="10"/>
        <v>97.142857142857139</v>
      </c>
      <c r="M70" s="7">
        <v>372</v>
      </c>
      <c r="N70" s="2">
        <v>21</v>
      </c>
      <c r="O70" s="2">
        <v>39</v>
      </c>
      <c r="P70" s="2">
        <v>35</v>
      </c>
      <c r="Q70" s="2">
        <v>13</v>
      </c>
      <c r="R70" s="7">
        <f t="shared" si="11"/>
        <v>108</v>
      </c>
      <c r="S70" s="77">
        <f t="shared" si="12"/>
        <v>0.55555555555555558</v>
      </c>
      <c r="T70" s="82">
        <f t="shared" si="13"/>
        <v>18.600000000000001</v>
      </c>
    </row>
    <row r="71" spans="1:20" x14ac:dyDescent="0.2">
      <c r="A71" s="2" t="s">
        <v>153</v>
      </c>
      <c r="B71" s="2" t="s">
        <v>79</v>
      </c>
      <c r="C71" s="2" t="s">
        <v>130</v>
      </c>
      <c r="D71" s="3">
        <v>41791</v>
      </c>
      <c r="E71" s="4" t="s">
        <v>32</v>
      </c>
      <c r="F71" s="5">
        <v>8</v>
      </c>
      <c r="G71" s="5">
        <v>7</v>
      </c>
      <c r="H71" s="5">
        <v>0.3</v>
      </c>
      <c r="I71" s="2">
        <v>21</v>
      </c>
      <c r="J71" s="6">
        <f t="shared" si="9"/>
        <v>2.625</v>
      </c>
      <c r="K71" s="2">
        <v>714</v>
      </c>
      <c r="L71" s="6">
        <f t="shared" si="10"/>
        <v>89.25</v>
      </c>
      <c r="M71" s="7">
        <v>339</v>
      </c>
      <c r="N71" s="2">
        <v>25</v>
      </c>
      <c r="O71" s="2">
        <v>32</v>
      </c>
      <c r="P71" s="2">
        <v>31</v>
      </c>
      <c r="Q71" s="2">
        <v>14</v>
      </c>
      <c r="R71" s="7">
        <f t="shared" si="11"/>
        <v>102</v>
      </c>
      <c r="S71" s="77">
        <f t="shared" si="12"/>
        <v>0.55882352941176472</v>
      </c>
      <c r="T71" s="82">
        <f t="shared" si="13"/>
        <v>16.142857142857142</v>
      </c>
    </row>
    <row r="72" spans="1:20" x14ac:dyDescent="0.2">
      <c r="A72" s="2" t="s">
        <v>154</v>
      </c>
      <c r="B72" s="2" t="s">
        <v>90</v>
      </c>
      <c r="C72" s="2" t="s">
        <v>131</v>
      </c>
      <c r="D72" s="3">
        <v>41791</v>
      </c>
      <c r="E72" s="4" t="s">
        <v>39</v>
      </c>
      <c r="F72" s="5">
        <v>7.5</v>
      </c>
      <c r="G72" s="5">
        <v>6.5</v>
      </c>
      <c r="H72" s="5">
        <v>0.8</v>
      </c>
      <c r="I72" s="2">
        <v>21</v>
      </c>
      <c r="J72" s="6">
        <f t="shared" si="9"/>
        <v>2.8</v>
      </c>
      <c r="K72" s="2">
        <v>714</v>
      </c>
      <c r="L72" s="6">
        <f t="shared" si="10"/>
        <v>95.2</v>
      </c>
      <c r="M72" s="7">
        <v>391</v>
      </c>
      <c r="N72" s="2">
        <v>27</v>
      </c>
      <c r="O72" s="2">
        <v>31</v>
      </c>
      <c r="P72" s="2">
        <v>35</v>
      </c>
      <c r="Q72" s="2">
        <v>13</v>
      </c>
      <c r="R72" s="7">
        <f t="shared" si="11"/>
        <v>106</v>
      </c>
      <c r="S72" s="77">
        <f t="shared" si="12"/>
        <v>0.54716981132075471</v>
      </c>
      <c r="T72" s="82">
        <f t="shared" si="13"/>
        <v>18.61904761904762</v>
      </c>
    </row>
    <row r="73" spans="1:20" x14ac:dyDescent="0.2">
      <c r="A73" s="2" t="s">
        <v>154</v>
      </c>
      <c r="B73" s="2" t="s">
        <v>101</v>
      </c>
      <c r="C73" s="2" t="s">
        <v>130</v>
      </c>
      <c r="D73" s="3">
        <v>41791</v>
      </c>
      <c r="E73" s="4" t="s">
        <v>30</v>
      </c>
      <c r="F73" s="5">
        <v>7.9</v>
      </c>
      <c r="G73" s="5">
        <v>6.9</v>
      </c>
      <c r="H73" s="5">
        <v>0.5</v>
      </c>
      <c r="I73" s="2">
        <v>23</v>
      </c>
      <c r="J73" s="6">
        <f t="shared" si="9"/>
        <v>2.9113924050632911</v>
      </c>
      <c r="K73" s="2">
        <v>782</v>
      </c>
      <c r="L73" s="6">
        <f t="shared" si="10"/>
        <v>98.987341772151893</v>
      </c>
      <c r="M73" s="7">
        <v>382</v>
      </c>
      <c r="N73" s="2">
        <v>23</v>
      </c>
      <c r="O73" s="2">
        <v>33</v>
      </c>
      <c r="P73" s="2">
        <v>33</v>
      </c>
      <c r="Q73" s="2">
        <v>11</v>
      </c>
      <c r="R73" s="7">
        <f t="shared" si="11"/>
        <v>100</v>
      </c>
      <c r="S73" s="77">
        <f t="shared" si="12"/>
        <v>0.56000000000000005</v>
      </c>
      <c r="T73" s="82">
        <f t="shared" si="13"/>
        <v>16.608695652173914</v>
      </c>
    </row>
    <row r="74" spans="1:20" x14ac:dyDescent="0.2">
      <c r="A74" s="2" t="s">
        <v>154</v>
      </c>
      <c r="B74" s="2" t="s">
        <v>27</v>
      </c>
      <c r="C74" s="2" t="s">
        <v>130</v>
      </c>
      <c r="D74" s="3">
        <v>41791</v>
      </c>
      <c r="E74" s="4" t="s">
        <v>23</v>
      </c>
      <c r="F74" s="5">
        <v>8.3000000000000007</v>
      </c>
      <c r="G74" s="5">
        <v>7.3000000000000007</v>
      </c>
      <c r="H74" s="5">
        <v>0.2</v>
      </c>
      <c r="I74" s="2">
        <v>16</v>
      </c>
      <c r="J74" s="6">
        <f t="shared" si="9"/>
        <v>1.9277108433734937</v>
      </c>
      <c r="K74" s="2">
        <v>544</v>
      </c>
      <c r="L74" s="6">
        <f t="shared" si="10"/>
        <v>65.542168674698786</v>
      </c>
      <c r="M74" s="7">
        <v>394</v>
      </c>
      <c r="N74" s="2">
        <v>27</v>
      </c>
      <c r="O74" s="2">
        <v>37</v>
      </c>
      <c r="P74" s="2">
        <v>37</v>
      </c>
      <c r="Q74" s="2">
        <v>10</v>
      </c>
      <c r="R74" s="7">
        <f t="shared" si="11"/>
        <v>111</v>
      </c>
      <c r="S74" s="77">
        <f t="shared" si="12"/>
        <v>0.57657657657657657</v>
      </c>
      <c r="T74" s="82">
        <f t="shared" si="13"/>
        <v>24.625</v>
      </c>
    </row>
    <row r="75" spans="1:20" x14ac:dyDescent="0.2">
      <c r="A75" s="2" t="s">
        <v>154</v>
      </c>
      <c r="B75" s="2" t="s">
        <v>61</v>
      </c>
      <c r="C75" s="2" t="s">
        <v>131</v>
      </c>
      <c r="D75" s="3">
        <v>41791</v>
      </c>
      <c r="E75" s="4" t="s">
        <v>26</v>
      </c>
      <c r="F75" s="5">
        <v>7.9</v>
      </c>
      <c r="G75" s="5">
        <v>6.9</v>
      </c>
      <c r="H75" s="5">
        <v>0.70000000000000018</v>
      </c>
      <c r="I75" s="2">
        <v>19</v>
      </c>
      <c r="J75" s="6">
        <f t="shared" si="9"/>
        <v>2.4050632911392404</v>
      </c>
      <c r="K75" s="2">
        <v>646</v>
      </c>
      <c r="L75" s="6">
        <f t="shared" si="10"/>
        <v>81.77215189873418</v>
      </c>
      <c r="M75" s="7">
        <v>302</v>
      </c>
      <c r="N75" s="2">
        <v>28</v>
      </c>
      <c r="O75" s="2">
        <v>32</v>
      </c>
      <c r="P75" s="2">
        <v>34</v>
      </c>
      <c r="Q75" s="2">
        <v>15</v>
      </c>
      <c r="R75" s="7">
        <f t="shared" si="11"/>
        <v>109</v>
      </c>
      <c r="S75" s="77">
        <f t="shared" si="12"/>
        <v>0.55045871559633031</v>
      </c>
      <c r="T75" s="82">
        <f t="shared" si="13"/>
        <v>15.894736842105264</v>
      </c>
    </row>
    <row r="76" spans="1:20" x14ac:dyDescent="0.2">
      <c r="A76" s="2" t="s">
        <v>154</v>
      </c>
      <c r="B76" s="2" t="s">
        <v>28</v>
      </c>
      <c r="C76" s="2" t="s">
        <v>131</v>
      </c>
      <c r="D76" s="3">
        <v>41791</v>
      </c>
      <c r="E76" s="4" t="s">
        <v>19</v>
      </c>
      <c r="F76" s="5">
        <v>8.3000000000000007</v>
      </c>
      <c r="G76" s="5">
        <v>7.3000000000000007</v>
      </c>
      <c r="H76" s="5">
        <v>0.6</v>
      </c>
      <c r="I76" s="2">
        <v>16</v>
      </c>
      <c r="J76" s="6">
        <f t="shared" si="9"/>
        <v>1.9277108433734937</v>
      </c>
      <c r="K76" s="2">
        <v>544</v>
      </c>
      <c r="L76" s="6">
        <f t="shared" si="10"/>
        <v>65.542168674698786</v>
      </c>
      <c r="M76" s="7">
        <v>376</v>
      </c>
      <c r="N76" s="2">
        <v>25</v>
      </c>
      <c r="O76" s="2">
        <v>36</v>
      </c>
      <c r="P76" s="2">
        <v>33</v>
      </c>
      <c r="Q76" s="2">
        <v>11</v>
      </c>
      <c r="R76" s="7">
        <f t="shared" si="11"/>
        <v>105</v>
      </c>
      <c r="S76" s="77">
        <f t="shared" si="12"/>
        <v>0.580952380952381</v>
      </c>
      <c r="T76" s="82">
        <f t="shared" si="13"/>
        <v>23.5</v>
      </c>
    </row>
    <row r="77" spans="1:20" x14ac:dyDescent="0.2">
      <c r="A77" s="2" t="s">
        <v>154</v>
      </c>
      <c r="B77" s="2" t="s">
        <v>95</v>
      </c>
      <c r="C77" s="2" t="s">
        <v>130</v>
      </c>
      <c r="D77" s="3">
        <v>41791</v>
      </c>
      <c r="E77" s="4" t="s">
        <v>23</v>
      </c>
      <c r="F77" s="5">
        <v>8</v>
      </c>
      <c r="G77" s="5">
        <v>7</v>
      </c>
      <c r="H77" s="5">
        <v>0.2</v>
      </c>
      <c r="I77" s="2">
        <v>23</v>
      </c>
      <c r="J77" s="6">
        <f t="shared" si="9"/>
        <v>2.875</v>
      </c>
      <c r="K77" s="2">
        <v>782</v>
      </c>
      <c r="L77" s="6">
        <f t="shared" si="10"/>
        <v>97.75</v>
      </c>
      <c r="M77" s="7">
        <v>368</v>
      </c>
      <c r="N77" s="2">
        <v>26</v>
      </c>
      <c r="O77" s="2">
        <v>31</v>
      </c>
      <c r="P77" s="2">
        <v>38</v>
      </c>
      <c r="Q77" s="2">
        <v>11</v>
      </c>
      <c r="R77" s="7">
        <f t="shared" si="11"/>
        <v>106</v>
      </c>
      <c r="S77" s="77">
        <f t="shared" si="12"/>
        <v>0.53773584905660377</v>
      </c>
      <c r="T77" s="82">
        <f t="shared" si="13"/>
        <v>16</v>
      </c>
    </row>
    <row r="78" spans="1:20" x14ac:dyDescent="0.2">
      <c r="A78" s="2" t="s">
        <v>154</v>
      </c>
      <c r="B78" s="2" t="s">
        <v>65</v>
      </c>
      <c r="C78" s="2" t="s">
        <v>130</v>
      </c>
      <c r="D78" s="3">
        <v>41791</v>
      </c>
      <c r="E78" s="4" t="s">
        <v>32</v>
      </c>
      <c r="F78" s="5">
        <v>7</v>
      </c>
      <c r="G78" s="5">
        <v>6</v>
      </c>
      <c r="H78" s="5">
        <v>0.3</v>
      </c>
      <c r="I78" s="2">
        <v>17</v>
      </c>
      <c r="J78" s="6">
        <f t="shared" si="9"/>
        <v>2.4285714285714284</v>
      </c>
      <c r="K78" s="2">
        <v>578</v>
      </c>
      <c r="L78" s="6">
        <f t="shared" si="10"/>
        <v>82.571428571428569</v>
      </c>
      <c r="M78" s="7">
        <v>334</v>
      </c>
      <c r="N78" s="2">
        <v>29</v>
      </c>
      <c r="O78" s="2">
        <v>31</v>
      </c>
      <c r="P78" s="2">
        <v>30</v>
      </c>
      <c r="Q78" s="2">
        <v>11</v>
      </c>
      <c r="R78" s="7">
        <f t="shared" si="11"/>
        <v>101</v>
      </c>
      <c r="S78" s="77">
        <f t="shared" si="12"/>
        <v>0.59405940594059403</v>
      </c>
      <c r="T78" s="82">
        <f t="shared" si="13"/>
        <v>19.647058823529413</v>
      </c>
    </row>
    <row r="79" spans="1:20" x14ac:dyDescent="0.2">
      <c r="A79" s="2" t="s">
        <v>154</v>
      </c>
      <c r="B79" s="2" t="s">
        <v>42</v>
      </c>
      <c r="C79" s="2" t="s">
        <v>130</v>
      </c>
      <c r="D79" s="3">
        <v>41791</v>
      </c>
      <c r="E79" s="4" t="s">
        <v>30</v>
      </c>
      <c r="F79" s="5">
        <v>7.3</v>
      </c>
      <c r="G79" s="5">
        <v>6.3</v>
      </c>
      <c r="H79" s="5">
        <v>0.5</v>
      </c>
      <c r="I79" s="2">
        <v>15</v>
      </c>
      <c r="J79" s="6">
        <f t="shared" si="9"/>
        <v>2.0547945205479454</v>
      </c>
      <c r="K79" s="2">
        <v>510</v>
      </c>
      <c r="L79" s="6">
        <f t="shared" si="10"/>
        <v>69.863013698630141</v>
      </c>
      <c r="M79" s="7">
        <v>359</v>
      </c>
      <c r="N79" s="2">
        <v>25</v>
      </c>
      <c r="O79" s="2">
        <v>37</v>
      </c>
      <c r="P79" s="2">
        <v>34</v>
      </c>
      <c r="Q79" s="2">
        <v>10</v>
      </c>
      <c r="R79" s="7">
        <f t="shared" si="11"/>
        <v>106</v>
      </c>
      <c r="S79" s="77">
        <f t="shared" si="12"/>
        <v>0.58490566037735847</v>
      </c>
      <c r="T79" s="82">
        <f t="shared" si="13"/>
        <v>23.933333333333334</v>
      </c>
    </row>
    <row r="80" spans="1:20" x14ac:dyDescent="0.2">
      <c r="A80" s="2" t="s">
        <v>154</v>
      </c>
      <c r="B80" s="2" t="s">
        <v>123</v>
      </c>
      <c r="C80" s="2" t="s">
        <v>131</v>
      </c>
      <c r="D80" s="3">
        <v>41791</v>
      </c>
      <c r="E80" s="4" t="s">
        <v>19</v>
      </c>
      <c r="F80" s="5">
        <v>7.3</v>
      </c>
      <c r="G80" s="5">
        <v>6.3</v>
      </c>
      <c r="H80" s="5">
        <v>0.6</v>
      </c>
      <c r="I80" s="2">
        <v>24</v>
      </c>
      <c r="J80" s="6">
        <f t="shared" si="9"/>
        <v>3.2876712328767126</v>
      </c>
      <c r="K80" s="2">
        <v>816</v>
      </c>
      <c r="L80" s="6">
        <f t="shared" si="10"/>
        <v>111.78082191780823</v>
      </c>
      <c r="M80" s="7">
        <v>303</v>
      </c>
      <c r="N80" s="2">
        <v>29</v>
      </c>
      <c r="O80" s="2">
        <v>38</v>
      </c>
      <c r="P80" s="2">
        <v>32</v>
      </c>
      <c r="Q80" s="2">
        <v>13</v>
      </c>
      <c r="R80" s="7">
        <f t="shared" si="11"/>
        <v>112</v>
      </c>
      <c r="S80" s="77">
        <f t="shared" si="12"/>
        <v>0.5982142857142857</v>
      </c>
      <c r="T80" s="82">
        <f t="shared" si="13"/>
        <v>12.625</v>
      </c>
    </row>
    <row r="81" spans="1:20" x14ac:dyDescent="0.2">
      <c r="A81" s="2" t="s">
        <v>154</v>
      </c>
      <c r="B81" s="2" t="s">
        <v>85</v>
      </c>
      <c r="C81" s="2" t="s">
        <v>131</v>
      </c>
      <c r="D81" s="3">
        <v>41791</v>
      </c>
      <c r="E81" s="4" t="s">
        <v>26</v>
      </c>
      <c r="F81" s="5">
        <v>7.6</v>
      </c>
      <c r="G81" s="5">
        <v>6.6</v>
      </c>
      <c r="H81" s="5">
        <v>0.70000000000000018</v>
      </c>
      <c r="I81" s="2">
        <v>21</v>
      </c>
      <c r="J81" s="6">
        <f t="shared" si="9"/>
        <v>2.763157894736842</v>
      </c>
      <c r="K81" s="2">
        <v>714</v>
      </c>
      <c r="L81" s="6">
        <f t="shared" si="10"/>
        <v>93.94736842105263</v>
      </c>
      <c r="M81" s="7">
        <v>316</v>
      </c>
      <c r="N81" s="2">
        <v>28</v>
      </c>
      <c r="O81" s="2">
        <v>36</v>
      </c>
      <c r="P81" s="2">
        <v>35</v>
      </c>
      <c r="Q81" s="2">
        <v>11</v>
      </c>
      <c r="R81" s="7">
        <f t="shared" si="11"/>
        <v>110</v>
      </c>
      <c r="S81" s="77">
        <f t="shared" si="12"/>
        <v>0.58181818181818179</v>
      </c>
      <c r="T81" s="82">
        <f t="shared" si="13"/>
        <v>15.047619047619047</v>
      </c>
    </row>
    <row r="82" spans="1:20" x14ac:dyDescent="0.2">
      <c r="A82" s="2" t="s">
        <v>155</v>
      </c>
      <c r="B82" s="2" t="s">
        <v>21</v>
      </c>
      <c r="C82" s="2" t="s">
        <v>131</v>
      </c>
      <c r="D82" s="3">
        <v>41791</v>
      </c>
      <c r="E82" s="4" t="s">
        <v>19</v>
      </c>
      <c r="F82" s="5">
        <v>8</v>
      </c>
      <c r="G82" s="5">
        <v>7</v>
      </c>
      <c r="H82" s="5">
        <v>0.6</v>
      </c>
      <c r="I82" s="2">
        <v>15</v>
      </c>
      <c r="J82" s="6">
        <f t="shared" si="9"/>
        <v>1.875</v>
      </c>
      <c r="K82" s="2">
        <v>510</v>
      </c>
      <c r="L82" s="6">
        <f t="shared" si="10"/>
        <v>63.75</v>
      </c>
      <c r="M82" s="7">
        <v>327</v>
      </c>
      <c r="N82" s="2">
        <v>27</v>
      </c>
      <c r="O82" s="2">
        <v>33</v>
      </c>
      <c r="P82" s="2">
        <v>37</v>
      </c>
      <c r="Q82" s="2">
        <v>13</v>
      </c>
      <c r="R82" s="7">
        <f t="shared" si="11"/>
        <v>110</v>
      </c>
      <c r="S82" s="77">
        <f t="shared" si="12"/>
        <v>0.54545454545454541</v>
      </c>
      <c r="T82" s="82">
        <f t="shared" si="13"/>
        <v>21.8</v>
      </c>
    </row>
    <row r="83" spans="1:20" x14ac:dyDescent="0.2">
      <c r="A83" s="2" t="s">
        <v>155</v>
      </c>
      <c r="B83" s="2" t="s">
        <v>54</v>
      </c>
      <c r="C83" s="2" t="s">
        <v>130</v>
      </c>
      <c r="D83" s="3">
        <v>41791</v>
      </c>
      <c r="E83" s="4" t="s">
        <v>23</v>
      </c>
      <c r="F83" s="5">
        <v>7.5</v>
      </c>
      <c r="G83" s="5">
        <v>6.5</v>
      </c>
      <c r="H83" s="5">
        <v>0.2</v>
      </c>
      <c r="I83" s="2">
        <v>17</v>
      </c>
      <c r="J83" s="6">
        <f t="shared" si="9"/>
        <v>2.2666666666666666</v>
      </c>
      <c r="K83" s="2">
        <v>578</v>
      </c>
      <c r="L83" s="6">
        <f t="shared" si="10"/>
        <v>77.066666666666663</v>
      </c>
      <c r="M83" s="7">
        <v>397</v>
      </c>
      <c r="N83" s="2">
        <v>29</v>
      </c>
      <c r="O83" s="2">
        <v>31</v>
      </c>
      <c r="P83" s="2">
        <v>32</v>
      </c>
      <c r="Q83" s="2">
        <v>10</v>
      </c>
      <c r="R83" s="7">
        <f t="shared" si="11"/>
        <v>102</v>
      </c>
      <c r="S83" s="77">
        <f t="shared" si="12"/>
        <v>0.58823529411764708</v>
      </c>
      <c r="T83" s="82">
        <f t="shared" si="13"/>
        <v>23.352941176470587</v>
      </c>
    </row>
    <row r="84" spans="1:20" x14ac:dyDescent="0.2">
      <c r="A84" s="2" t="s">
        <v>155</v>
      </c>
      <c r="B84" s="2" t="s">
        <v>56</v>
      </c>
      <c r="C84" s="2" t="s">
        <v>131</v>
      </c>
      <c r="D84" s="3">
        <v>41791</v>
      </c>
      <c r="E84" s="4" t="s">
        <v>39</v>
      </c>
      <c r="F84" s="5">
        <v>7</v>
      </c>
      <c r="G84" s="5">
        <v>6</v>
      </c>
      <c r="H84" s="5">
        <v>0.8</v>
      </c>
      <c r="I84" s="2">
        <v>16</v>
      </c>
      <c r="J84" s="6">
        <f t="shared" si="9"/>
        <v>2.2857142857142856</v>
      </c>
      <c r="K84" s="2">
        <v>544</v>
      </c>
      <c r="L84" s="6">
        <f t="shared" si="10"/>
        <v>77.714285714285708</v>
      </c>
      <c r="M84" s="7">
        <v>400</v>
      </c>
      <c r="N84" s="2">
        <v>30</v>
      </c>
      <c r="O84" s="2">
        <v>32</v>
      </c>
      <c r="P84" s="2">
        <v>38</v>
      </c>
      <c r="Q84" s="2">
        <v>15</v>
      </c>
      <c r="R84" s="7">
        <f t="shared" si="11"/>
        <v>115</v>
      </c>
      <c r="S84" s="77">
        <f t="shared" si="12"/>
        <v>0.53913043478260869</v>
      </c>
      <c r="T84" s="82">
        <f t="shared" si="13"/>
        <v>25</v>
      </c>
    </row>
    <row r="85" spans="1:20" x14ac:dyDescent="0.2">
      <c r="A85" s="2" t="s">
        <v>155</v>
      </c>
      <c r="B85" s="2" t="s">
        <v>51</v>
      </c>
      <c r="C85" s="2" t="s">
        <v>130</v>
      </c>
      <c r="D85" s="3">
        <v>41791</v>
      </c>
      <c r="E85" s="4" t="s">
        <v>32</v>
      </c>
      <c r="F85" s="5">
        <v>7.6</v>
      </c>
      <c r="G85" s="5">
        <v>6.6</v>
      </c>
      <c r="H85" s="5">
        <v>0.3</v>
      </c>
      <c r="I85" s="2">
        <v>17</v>
      </c>
      <c r="J85" s="6">
        <f t="shared" si="9"/>
        <v>2.236842105263158</v>
      </c>
      <c r="K85" s="2">
        <v>578</v>
      </c>
      <c r="L85" s="6">
        <f t="shared" si="10"/>
        <v>76.05263157894737</v>
      </c>
      <c r="M85" s="7">
        <v>323</v>
      </c>
      <c r="N85" s="2">
        <v>27</v>
      </c>
      <c r="O85" s="2">
        <v>38</v>
      </c>
      <c r="P85" s="2">
        <v>36</v>
      </c>
      <c r="Q85" s="2">
        <v>11</v>
      </c>
      <c r="R85" s="7">
        <f t="shared" si="11"/>
        <v>112</v>
      </c>
      <c r="S85" s="77">
        <f t="shared" si="12"/>
        <v>0.5803571428571429</v>
      </c>
      <c r="T85" s="82">
        <f t="shared" si="13"/>
        <v>19</v>
      </c>
    </row>
    <row r="86" spans="1:20" x14ac:dyDescent="0.2">
      <c r="A86" s="2" t="s">
        <v>155</v>
      </c>
      <c r="B86" s="2" t="s">
        <v>98</v>
      </c>
      <c r="C86" s="2" t="s">
        <v>130</v>
      </c>
      <c r="D86" s="3">
        <v>41791</v>
      </c>
      <c r="E86" s="4" t="s">
        <v>30</v>
      </c>
      <c r="F86" s="5">
        <v>8.3000000000000007</v>
      </c>
      <c r="G86" s="5">
        <v>7.3000000000000007</v>
      </c>
      <c r="H86" s="5">
        <v>0.5</v>
      </c>
      <c r="I86" s="2">
        <v>24</v>
      </c>
      <c r="J86" s="6">
        <f t="shared" si="9"/>
        <v>2.8915662650602405</v>
      </c>
      <c r="K86" s="2">
        <v>816</v>
      </c>
      <c r="L86" s="6">
        <f t="shared" si="10"/>
        <v>98.313253012048179</v>
      </c>
      <c r="M86" s="7">
        <v>327</v>
      </c>
      <c r="N86" s="2">
        <v>20</v>
      </c>
      <c r="O86" s="2">
        <v>34</v>
      </c>
      <c r="P86" s="2">
        <v>32</v>
      </c>
      <c r="Q86" s="2">
        <v>10</v>
      </c>
      <c r="R86" s="7">
        <f t="shared" si="11"/>
        <v>96</v>
      </c>
      <c r="S86" s="77">
        <f t="shared" si="12"/>
        <v>0.5625</v>
      </c>
      <c r="T86" s="82">
        <f t="shared" si="13"/>
        <v>13.625</v>
      </c>
    </row>
    <row r="87" spans="1:20" x14ac:dyDescent="0.2">
      <c r="A87" s="2" t="s">
        <v>155</v>
      </c>
      <c r="B87" s="2" t="s">
        <v>77</v>
      </c>
      <c r="C87" s="2" t="s">
        <v>131</v>
      </c>
      <c r="D87" s="3">
        <v>41791</v>
      </c>
      <c r="E87" s="4" t="s">
        <v>26</v>
      </c>
      <c r="F87" s="5">
        <v>7.3</v>
      </c>
      <c r="G87" s="5">
        <v>6.3</v>
      </c>
      <c r="H87" s="5">
        <v>0.70000000000000018</v>
      </c>
      <c r="I87" s="2">
        <v>19</v>
      </c>
      <c r="J87" s="6">
        <f t="shared" si="9"/>
        <v>2.6027397260273974</v>
      </c>
      <c r="K87" s="2">
        <v>646</v>
      </c>
      <c r="L87" s="6">
        <f t="shared" si="10"/>
        <v>88.493150684931507</v>
      </c>
      <c r="M87" s="7">
        <v>317</v>
      </c>
      <c r="N87" s="2">
        <v>25</v>
      </c>
      <c r="O87" s="2">
        <v>32</v>
      </c>
      <c r="P87" s="2">
        <v>38</v>
      </c>
      <c r="Q87" s="2">
        <v>13</v>
      </c>
      <c r="R87" s="7">
        <f t="shared" si="11"/>
        <v>108</v>
      </c>
      <c r="S87" s="77">
        <f t="shared" si="12"/>
        <v>0.52777777777777779</v>
      </c>
      <c r="T87" s="82">
        <f t="shared" si="13"/>
        <v>16.684210526315791</v>
      </c>
    </row>
    <row r="88" spans="1:20" x14ac:dyDescent="0.2">
      <c r="A88" s="2" t="s">
        <v>155</v>
      </c>
      <c r="B88" s="2" t="s">
        <v>121</v>
      </c>
      <c r="C88" s="2" t="s">
        <v>130</v>
      </c>
      <c r="D88" s="3">
        <v>41791</v>
      </c>
      <c r="E88" s="4" t="s">
        <v>23</v>
      </c>
      <c r="F88" s="5">
        <v>7</v>
      </c>
      <c r="G88" s="5">
        <v>6</v>
      </c>
      <c r="H88" s="5">
        <v>0.2</v>
      </c>
      <c r="I88" s="2">
        <v>23</v>
      </c>
      <c r="J88" s="6">
        <f t="shared" si="9"/>
        <v>3.2857142857142856</v>
      </c>
      <c r="K88" s="2">
        <v>782</v>
      </c>
      <c r="L88" s="6">
        <f t="shared" si="10"/>
        <v>111.71428571428571</v>
      </c>
      <c r="M88" s="7">
        <v>319</v>
      </c>
      <c r="N88" s="2">
        <v>27</v>
      </c>
      <c r="O88" s="2">
        <v>38</v>
      </c>
      <c r="P88" s="2">
        <v>40</v>
      </c>
      <c r="Q88" s="2">
        <v>13</v>
      </c>
      <c r="R88" s="7">
        <f t="shared" si="11"/>
        <v>118</v>
      </c>
      <c r="S88" s="77">
        <f t="shared" si="12"/>
        <v>0.55084745762711862</v>
      </c>
      <c r="T88" s="82">
        <f t="shared" si="13"/>
        <v>13.869565217391305</v>
      </c>
    </row>
    <row r="89" spans="1:20" x14ac:dyDescent="0.2">
      <c r="A89" s="2" t="s">
        <v>155</v>
      </c>
      <c r="B89" s="2" t="s">
        <v>40</v>
      </c>
      <c r="C89" s="2" t="s">
        <v>130</v>
      </c>
      <c r="D89" s="3">
        <v>41791</v>
      </c>
      <c r="E89" s="4" t="s">
        <v>32</v>
      </c>
      <c r="F89" s="5">
        <v>7.9</v>
      </c>
      <c r="G89" s="5">
        <v>6.9</v>
      </c>
      <c r="H89" s="5">
        <v>0.3</v>
      </c>
      <c r="I89" s="2">
        <v>16</v>
      </c>
      <c r="J89" s="6">
        <f t="shared" si="9"/>
        <v>2.0253164556962022</v>
      </c>
      <c r="K89" s="2">
        <v>544</v>
      </c>
      <c r="L89" s="6">
        <f t="shared" si="10"/>
        <v>68.860759493670884</v>
      </c>
      <c r="M89" s="7">
        <v>365</v>
      </c>
      <c r="N89" s="2">
        <v>30</v>
      </c>
      <c r="O89" s="2">
        <v>35</v>
      </c>
      <c r="P89" s="2">
        <v>33</v>
      </c>
      <c r="Q89" s="2">
        <v>14</v>
      </c>
      <c r="R89" s="7">
        <f t="shared" si="11"/>
        <v>112</v>
      </c>
      <c r="S89" s="77">
        <f t="shared" si="12"/>
        <v>0.5803571428571429</v>
      </c>
      <c r="T89" s="82">
        <f t="shared" si="13"/>
        <v>22.8125</v>
      </c>
    </row>
    <row r="90" spans="1:20" x14ac:dyDescent="0.2">
      <c r="A90" s="2" t="s">
        <v>155</v>
      </c>
      <c r="B90" s="2" t="s">
        <v>46</v>
      </c>
      <c r="C90" s="2" t="s">
        <v>131</v>
      </c>
      <c r="D90" s="3">
        <v>41791</v>
      </c>
      <c r="E90" s="4" t="s">
        <v>39</v>
      </c>
      <c r="F90" s="5">
        <v>7.6</v>
      </c>
      <c r="G90" s="5">
        <v>6.6</v>
      </c>
      <c r="H90" s="5">
        <v>0.8</v>
      </c>
      <c r="I90" s="2">
        <v>16</v>
      </c>
      <c r="J90" s="6">
        <f t="shared" si="9"/>
        <v>2.1052631578947367</v>
      </c>
      <c r="K90" s="2">
        <v>544</v>
      </c>
      <c r="L90" s="6">
        <f t="shared" si="10"/>
        <v>71.578947368421055</v>
      </c>
      <c r="M90" s="7">
        <v>396</v>
      </c>
      <c r="N90" s="2">
        <v>25</v>
      </c>
      <c r="O90" s="2">
        <v>39</v>
      </c>
      <c r="P90" s="2">
        <v>37</v>
      </c>
      <c r="Q90" s="2">
        <v>11</v>
      </c>
      <c r="R90" s="7">
        <f t="shared" si="11"/>
        <v>112</v>
      </c>
      <c r="S90" s="77">
        <f t="shared" si="12"/>
        <v>0.5714285714285714</v>
      </c>
      <c r="T90" s="82">
        <f t="shared" si="13"/>
        <v>24.75</v>
      </c>
    </row>
    <row r="91" spans="1:20" x14ac:dyDescent="0.2">
      <c r="A91" s="2" t="s">
        <v>155</v>
      </c>
      <c r="B91" s="2" t="s">
        <v>111</v>
      </c>
      <c r="C91" s="2" t="s">
        <v>130</v>
      </c>
      <c r="D91" s="3">
        <v>41791</v>
      </c>
      <c r="E91" s="4" t="s">
        <v>30</v>
      </c>
      <c r="F91" s="5">
        <v>8</v>
      </c>
      <c r="G91" s="5">
        <v>7</v>
      </c>
      <c r="H91" s="5">
        <v>0.5</v>
      </c>
      <c r="I91" s="2">
        <v>25</v>
      </c>
      <c r="J91" s="6">
        <f t="shared" si="9"/>
        <v>3.125</v>
      </c>
      <c r="K91" s="2">
        <v>850</v>
      </c>
      <c r="L91" s="6">
        <f t="shared" si="10"/>
        <v>106.25</v>
      </c>
      <c r="M91" s="7">
        <v>333</v>
      </c>
      <c r="N91" s="2">
        <v>29</v>
      </c>
      <c r="O91" s="2">
        <v>34</v>
      </c>
      <c r="P91" s="2">
        <v>35</v>
      </c>
      <c r="Q91" s="2">
        <v>12</v>
      </c>
      <c r="R91" s="7">
        <f t="shared" si="11"/>
        <v>110</v>
      </c>
      <c r="S91" s="77">
        <f t="shared" si="12"/>
        <v>0.57272727272727275</v>
      </c>
      <c r="T91" s="82">
        <f t="shared" si="13"/>
        <v>13.32</v>
      </c>
    </row>
    <row r="92" spans="1:20" x14ac:dyDescent="0.2">
      <c r="A92" s="2" t="s">
        <v>155</v>
      </c>
      <c r="B92" s="2" t="s">
        <v>91</v>
      </c>
      <c r="C92" s="2" t="s">
        <v>131</v>
      </c>
      <c r="D92" s="3">
        <v>41791</v>
      </c>
      <c r="E92" s="4" t="s">
        <v>19</v>
      </c>
      <c r="F92" s="5">
        <v>7.5</v>
      </c>
      <c r="G92" s="5">
        <v>6.5</v>
      </c>
      <c r="H92" s="5">
        <v>0.6</v>
      </c>
      <c r="I92" s="2">
        <v>21</v>
      </c>
      <c r="J92" s="6">
        <f t="shared" si="9"/>
        <v>2.8</v>
      </c>
      <c r="K92" s="2">
        <v>714</v>
      </c>
      <c r="L92" s="6">
        <f t="shared" si="10"/>
        <v>95.2</v>
      </c>
      <c r="M92" s="7">
        <v>329</v>
      </c>
      <c r="N92" s="2">
        <v>24</v>
      </c>
      <c r="O92" s="2">
        <v>32</v>
      </c>
      <c r="P92" s="2">
        <v>33</v>
      </c>
      <c r="Q92" s="2">
        <v>14</v>
      </c>
      <c r="R92" s="7">
        <f t="shared" si="11"/>
        <v>103</v>
      </c>
      <c r="S92" s="77">
        <f t="shared" si="12"/>
        <v>0.5436893203883495</v>
      </c>
      <c r="T92" s="82">
        <f t="shared" si="13"/>
        <v>15.666666666666666</v>
      </c>
    </row>
    <row r="93" spans="1:20" x14ac:dyDescent="0.2">
      <c r="A93" s="2" t="s">
        <v>156</v>
      </c>
      <c r="B93" s="2" t="s">
        <v>67</v>
      </c>
      <c r="C93" s="2" t="s">
        <v>131</v>
      </c>
      <c r="D93" s="3">
        <v>41791</v>
      </c>
      <c r="E93" s="4" t="s">
        <v>19</v>
      </c>
      <c r="F93" s="5">
        <v>7</v>
      </c>
      <c r="G93" s="5">
        <v>6</v>
      </c>
      <c r="H93" s="5">
        <v>0.6</v>
      </c>
      <c r="I93" s="2">
        <v>17</v>
      </c>
      <c r="J93" s="6">
        <f t="shared" si="9"/>
        <v>2.4285714285714284</v>
      </c>
      <c r="K93" s="2">
        <v>578</v>
      </c>
      <c r="L93" s="6">
        <f t="shared" si="10"/>
        <v>82.571428571428569</v>
      </c>
      <c r="M93" s="7">
        <v>327</v>
      </c>
      <c r="N93" s="2">
        <v>21</v>
      </c>
      <c r="O93" s="2">
        <v>38</v>
      </c>
      <c r="P93" s="2">
        <v>36</v>
      </c>
      <c r="Q93" s="2">
        <v>12</v>
      </c>
      <c r="R93" s="7">
        <f t="shared" si="11"/>
        <v>107</v>
      </c>
      <c r="S93" s="77">
        <f t="shared" si="12"/>
        <v>0.55140186915887845</v>
      </c>
      <c r="T93" s="82">
        <f t="shared" si="13"/>
        <v>19.235294117647058</v>
      </c>
    </row>
    <row r="94" spans="1:20" x14ac:dyDescent="0.2">
      <c r="A94" s="2" t="s">
        <v>156</v>
      </c>
      <c r="B94" s="2" t="s">
        <v>53</v>
      </c>
      <c r="C94" s="2" t="s">
        <v>131</v>
      </c>
      <c r="D94" s="3">
        <v>41791</v>
      </c>
      <c r="E94" s="4" t="s">
        <v>26</v>
      </c>
      <c r="F94" s="5">
        <v>8</v>
      </c>
      <c r="G94" s="5">
        <v>7</v>
      </c>
      <c r="H94" s="5">
        <v>0.70000000000000018</v>
      </c>
      <c r="I94" s="2">
        <v>18</v>
      </c>
      <c r="J94" s="6">
        <f t="shared" si="9"/>
        <v>2.25</v>
      </c>
      <c r="K94" s="2">
        <v>612</v>
      </c>
      <c r="L94" s="6">
        <f t="shared" si="10"/>
        <v>76.5</v>
      </c>
      <c r="M94" s="7">
        <v>350</v>
      </c>
      <c r="N94" s="2">
        <v>29</v>
      </c>
      <c r="O94" s="2">
        <v>30</v>
      </c>
      <c r="P94" s="2">
        <v>32</v>
      </c>
      <c r="Q94" s="2">
        <v>12</v>
      </c>
      <c r="R94" s="7">
        <f t="shared" si="11"/>
        <v>103</v>
      </c>
      <c r="S94" s="77">
        <f t="shared" si="12"/>
        <v>0.57281553398058249</v>
      </c>
      <c r="T94" s="82">
        <f t="shared" si="13"/>
        <v>19.444444444444443</v>
      </c>
    </row>
    <row r="95" spans="1:20" x14ac:dyDescent="0.2">
      <c r="A95" s="2" t="s">
        <v>156</v>
      </c>
      <c r="B95" s="2" t="s">
        <v>71</v>
      </c>
      <c r="C95" s="2" t="s">
        <v>130</v>
      </c>
      <c r="D95" s="3">
        <v>41791</v>
      </c>
      <c r="E95" s="4" t="s">
        <v>32</v>
      </c>
      <c r="F95" s="5">
        <v>8.3000000000000007</v>
      </c>
      <c r="G95" s="5">
        <v>7.3000000000000007</v>
      </c>
      <c r="H95" s="5">
        <v>0.3</v>
      </c>
      <c r="I95" s="2">
        <v>21</v>
      </c>
      <c r="J95" s="6">
        <f t="shared" si="9"/>
        <v>2.5301204819277108</v>
      </c>
      <c r="K95" s="2">
        <v>714</v>
      </c>
      <c r="L95" s="6">
        <f t="shared" si="10"/>
        <v>86.024096385542165</v>
      </c>
      <c r="M95" s="7">
        <v>300</v>
      </c>
      <c r="N95" s="2">
        <v>23</v>
      </c>
      <c r="O95" s="2">
        <v>39</v>
      </c>
      <c r="P95" s="2">
        <v>34</v>
      </c>
      <c r="Q95" s="2">
        <v>14</v>
      </c>
      <c r="R95" s="7">
        <f t="shared" si="11"/>
        <v>110</v>
      </c>
      <c r="S95" s="77">
        <f t="shared" si="12"/>
        <v>0.5636363636363636</v>
      </c>
      <c r="T95" s="82">
        <f t="shared" si="13"/>
        <v>14.285714285714286</v>
      </c>
    </row>
    <row r="96" spans="1:20" x14ac:dyDescent="0.2">
      <c r="A96" s="2" t="s">
        <v>156</v>
      </c>
      <c r="B96" s="2" t="s">
        <v>124</v>
      </c>
      <c r="C96" s="2" t="s">
        <v>130</v>
      </c>
      <c r="D96" s="3">
        <v>41791</v>
      </c>
      <c r="E96" s="4" t="s">
        <v>32</v>
      </c>
      <c r="F96" s="5">
        <v>7.3</v>
      </c>
      <c r="G96" s="5">
        <v>6.3</v>
      </c>
      <c r="H96" s="5">
        <v>0.3</v>
      </c>
      <c r="I96" s="2">
        <v>24</v>
      </c>
      <c r="J96" s="6">
        <f t="shared" si="9"/>
        <v>3.2876712328767126</v>
      </c>
      <c r="K96" s="2">
        <v>816</v>
      </c>
      <c r="L96" s="6">
        <f t="shared" si="10"/>
        <v>111.78082191780823</v>
      </c>
      <c r="M96" s="7">
        <v>329</v>
      </c>
      <c r="N96" s="2">
        <v>26</v>
      </c>
      <c r="O96" s="2">
        <v>36</v>
      </c>
      <c r="P96" s="2">
        <v>39</v>
      </c>
      <c r="Q96" s="2">
        <v>10</v>
      </c>
      <c r="R96" s="7">
        <f t="shared" si="11"/>
        <v>111</v>
      </c>
      <c r="S96" s="77">
        <f t="shared" si="12"/>
        <v>0.55855855855855852</v>
      </c>
      <c r="T96" s="82">
        <f t="shared" si="13"/>
        <v>13.708333333333334</v>
      </c>
    </row>
    <row r="97" spans="1:20" x14ac:dyDescent="0.2">
      <c r="A97" s="2" t="s">
        <v>156</v>
      </c>
      <c r="B97" s="2" t="s">
        <v>34</v>
      </c>
      <c r="C97" s="2" t="s">
        <v>130</v>
      </c>
      <c r="D97" s="3">
        <v>41791</v>
      </c>
      <c r="E97" s="4" t="s">
        <v>23</v>
      </c>
      <c r="F97" s="5">
        <v>7.6</v>
      </c>
      <c r="G97" s="5">
        <v>6.6</v>
      </c>
      <c r="H97" s="5">
        <v>0.2</v>
      </c>
      <c r="I97" s="2">
        <v>15</v>
      </c>
      <c r="J97" s="6">
        <f t="shared" si="9"/>
        <v>1.9736842105263159</v>
      </c>
      <c r="K97" s="2">
        <v>510</v>
      </c>
      <c r="L97" s="6">
        <f t="shared" si="10"/>
        <v>67.10526315789474</v>
      </c>
      <c r="M97" s="7">
        <v>384</v>
      </c>
      <c r="N97" s="2">
        <v>21</v>
      </c>
      <c r="O97" s="2">
        <v>37</v>
      </c>
      <c r="P97" s="2">
        <v>39</v>
      </c>
      <c r="Q97" s="2">
        <v>11</v>
      </c>
      <c r="R97" s="7">
        <f t="shared" si="11"/>
        <v>108</v>
      </c>
      <c r="S97" s="77">
        <f t="shared" si="12"/>
        <v>0.53703703703703709</v>
      </c>
      <c r="T97" s="82">
        <f t="shared" si="13"/>
        <v>25.6</v>
      </c>
    </row>
    <row r="98" spans="1:20" x14ac:dyDescent="0.2">
      <c r="A98" s="2" t="s">
        <v>156</v>
      </c>
      <c r="B98" s="2" t="s">
        <v>89</v>
      </c>
      <c r="C98" s="2" t="s">
        <v>131</v>
      </c>
      <c r="D98" s="3">
        <v>41791</v>
      </c>
      <c r="E98" s="4" t="s">
        <v>39</v>
      </c>
      <c r="F98" s="5">
        <v>7.9</v>
      </c>
      <c r="G98" s="5">
        <v>6.9</v>
      </c>
      <c r="H98" s="5">
        <v>0.8</v>
      </c>
      <c r="I98" s="2">
        <v>22</v>
      </c>
      <c r="J98" s="6">
        <f t="shared" ref="J98:J129" si="14">I98/F98</f>
        <v>2.7848101265822782</v>
      </c>
      <c r="K98" s="2">
        <v>748</v>
      </c>
      <c r="L98" s="6">
        <f t="shared" ref="L98:L129" si="15">K98/F98</f>
        <v>94.683544303797461</v>
      </c>
      <c r="M98" s="7">
        <v>332</v>
      </c>
      <c r="N98" s="2">
        <v>22</v>
      </c>
      <c r="O98" s="2">
        <v>39</v>
      </c>
      <c r="P98" s="2">
        <v>32</v>
      </c>
      <c r="Q98" s="2">
        <v>11</v>
      </c>
      <c r="R98" s="7">
        <f t="shared" ref="R98:R129" si="16">SUM(N98:Q98)</f>
        <v>104</v>
      </c>
      <c r="S98" s="77">
        <f t="shared" ref="S98:S129" si="17">SUM(N98:O98)/R98</f>
        <v>0.58653846153846156</v>
      </c>
      <c r="T98" s="82">
        <f t="shared" si="13"/>
        <v>15.090909090909092</v>
      </c>
    </row>
    <row r="99" spans="1:20" x14ac:dyDescent="0.2">
      <c r="A99" s="2" t="s">
        <v>156</v>
      </c>
      <c r="B99" s="2" t="s">
        <v>80</v>
      </c>
      <c r="C99" s="2" t="s">
        <v>131</v>
      </c>
      <c r="D99" s="3">
        <v>41791</v>
      </c>
      <c r="E99" s="4" t="s">
        <v>26</v>
      </c>
      <c r="F99" s="5">
        <v>8.3000000000000007</v>
      </c>
      <c r="G99" s="5">
        <v>7.3000000000000007</v>
      </c>
      <c r="H99" s="5">
        <v>0.70000000000000018</v>
      </c>
      <c r="I99" s="2">
        <v>22</v>
      </c>
      <c r="J99" s="6">
        <f t="shared" si="14"/>
        <v>2.6506024096385539</v>
      </c>
      <c r="K99" s="2">
        <v>748</v>
      </c>
      <c r="L99" s="6">
        <f t="shared" si="15"/>
        <v>90.120481927710841</v>
      </c>
      <c r="M99" s="7">
        <v>386</v>
      </c>
      <c r="N99" s="2">
        <v>20</v>
      </c>
      <c r="O99" s="2">
        <v>39</v>
      </c>
      <c r="P99" s="2">
        <v>38</v>
      </c>
      <c r="Q99" s="2">
        <v>12</v>
      </c>
      <c r="R99" s="7">
        <f t="shared" si="16"/>
        <v>109</v>
      </c>
      <c r="S99" s="77">
        <f t="shared" si="17"/>
        <v>0.54128440366972475</v>
      </c>
      <c r="T99" s="82">
        <f t="shared" si="13"/>
        <v>17.545454545454547</v>
      </c>
    </row>
    <row r="100" spans="1:20" x14ac:dyDescent="0.2">
      <c r="A100" s="2" t="s">
        <v>156</v>
      </c>
      <c r="B100" s="2" t="s">
        <v>33</v>
      </c>
      <c r="C100" s="2" t="s">
        <v>130</v>
      </c>
      <c r="D100" s="3">
        <v>41791</v>
      </c>
      <c r="E100" s="4" t="s">
        <v>23</v>
      </c>
      <c r="F100" s="5">
        <v>7.6</v>
      </c>
      <c r="G100" s="5">
        <v>6.6</v>
      </c>
      <c r="H100" s="5">
        <v>0.2</v>
      </c>
      <c r="I100" s="2">
        <v>15</v>
      </c>
      <c r="J100" s="6">
        <f t="shared" si="14"/>
        <v>1.9736842105263159</v>
      </c>
      <c r="K100" s="2">
        <v>510</v>
      </c>
      <c r="L100" s="6">
        <f t="shared" si="15"/>
        <v>67.10526315789474</v>
      </c>
      <c r="M100" s="7">
        <v>384</v>
      </c>
      <c r="N100" s="2">
        <v>21</v>
      </c>
      <c r="O100" s="2">
        <v>37</v>
      </c>
      <c r="P100" s="2">
        <v>39</v>
      </c>
      <c r="Q100" s="2">
        <v>11</v>
      </c>
      <c r="R100" s="7">
        <f t="shared" si="16"/>
        <v>108</v>
      </c>
      <c r="S100" s="77">
        <f t="shared" si="17"/>
        <v>0.53703703703703709</v>
      </c>
      <c r="T100" s="82">
        <f t="shared" si="13"/>
        <v>25.6</v>
      </c>
    </row>
    <row r="101" spans="1:20" x14ac:dyDescent="0.2">
      <c r="A101" s="2" t="s">
        <v>156</v>
      </c>
      <c r="B101" s="2" t="s">
        <v>82</v>
      </c>
      <c r="C101" s="2" t="s">
        <v>130</v>
      </c>
      <c r="D101" s="3">
        <v>41791</v>
      </c>
      <c r="E101" s="4" t="s">
        <v>30</v>
      </c>
      <c r="F101" s="5">
        <v>7.5</v>
      </c>
      <c r="G101" s="5">
        <v>6.5</v>
      </c>
      <c r="H101" s="5">
        <v>0.5</v>
      </c>
      <c r="I101" s="2">
        <v>20</v>
      </c>
      <c r="J101" s="6">
        <f t="shared" si="14"/>
        <v>2.6666666666666665</v>
      </c>
      <c r="K101" s="2">
        <v>680</v>
      </c>
      <c r="L101" s="6">
        <f t="shared" si="15"/>
        <v>90.666666666666671</v>
      </c>
      <c r="M101" s="7">
        <v>396</v>
      </c>
      <c r="N101" s="2">
        <v>24</v>
      </c>
      <c r="O101" s="2">
        <v>39</v>
      </c>
      <c r="P101" s="2">
        <v>31</v>
      </c>
      <c r="Q101" s="2">
        <v>10</v>
      </c>
      <c r="R101" s="7">
        <f t="shared" si="16"/>
        <v>104</v>
      </c>
      <c r="S101" s="77">
        <f t="shared" si="17"/>
        <v>0.60576923076923073</v>
      </c>
      <c r="T101" s="82">
        <f t="shared" si="13"/>
        <v>19.8</v>
      </c>
    </row>
    <row r="102" spans="1:20" x14ac:dyDescent="0.2">
      <c r="A102" s="2" t="s">
        <v>156</v>
      </c>
      <c r="B102" s="2" t="s">
        <v>66</v>
      </c>
      <c r="C102" s="2" t="s">
        <v>131</v>
      </c>
      <c r="D102" s="3">
        <v>41791</v>
      </c>
      <c r="E102" s="4" t="s">
        <v>19</v>
      </c>
      <c r="F102" s="5">
        <v>7</v>
      </c>
      <c r="G102" s="5">
        <v>6</v>
      </c>
      <c r="H102" s="5">
        <v>0.6</v>
      </c>
      <c r="I102" s="2">
        <v>17</v>
      </c>
      <c r="J102" s="6">
        <f t="shared" si="14"/>
        <v>2.4285714285714284</v>
      </c>
      <c r="K102" s="2">
        <v>578</v>
      </c>
      <c r="L102" s="6">
        <f t="shared" si="15"/>
        <v>82.571428571428569</v>
      </c>
      <c r="M102" s="7">
        <v>327</v>
      </c>
      <c r="N102" s="2">
        <v>21</v>
      </c>
      <c r="O102" s="2">
        <v>38</v>
      </c>
      <c r="P102" s="2">
        <v>36</v>
      </c>
      <c r="Q102" s="2">
        <v>12</v>
      </c>
      <c r="R102" s="7">
        <f t="shared" si="16"/>
        <v>107</v>
      </c>
      <c r="S102" s="77">
        <f t="shared" si="17"/>
        <v>0.55140186915887845</v>
      </c>
      <c r="T102" s="82">
        <f t="shared" si="13"/>
        <v>19.235294117647058</v>
      </c>
    </row>
    <row r="103" spans="1:20" x14ac:dyDescent="0.2">
      <c r="A103" s="2" t="s">
        <v>156</v>
      </c>
      <c r="B103" s="2" t="s">
        <v>43</v>
      </c>
      <c r="C103" s="2" t="s">
        <v>131</v>
      </c>
      <c r="D103" s="3">
        <v>41791</v>
      </c>
      <c r="E103" s="4" t="s">
        <v>39</v>
      </c>
      <c r="F103" s="5">
        <v>7.3</v>
      </c>
      <c r="G103" s="5">
        <v>6.3</v>
      </c>
      <c r="H103" s="5">
        <v>0.8</v>
      </c>
      <c r="I103" s="2">
        <v>15</v>
      </c>
      <c r="J103" s="6">
        <f t="shared" si="14"/>
        <v>2.0547945205479454</v>
      </c>
      <c r="K103" s="2">
        <v>510</v>
      </c>
      <c r="L103" s="6">
        <f t="shared" si="15"/>
        <v>69.863013698630141</v>
      </c>
      <c r="M103" s="7">
        <v>316</v>
      </c>
      <c r="N103" s="2">
        <v>29</v>
      </c>
      <c r="O103" s="2">
        <v>35</v>
      </c>
      <c r="P103" s="2">
        <v>33</v>
      </c>
      <c r="Q103" s="2">
        <v>10</v>
      </c>
      <c r="R103" s="7">
        <f t="shared" si="16"/>
        <v>107</v>
      </c>
      <c r="S103" s="77">
        <f t="shared" si="17"/>
        <v>0.59813084112149528</v>
      </c>
      <c r="T103" s="82">
        <f t="shared" si="13"/>
        <v>21.066666666666666</v>
      </c>
    </row>
    <row r="104" spans="1:20" x14ac:dyDescent="0.2">
      <c r="J104" s="6"/>
      <c r="L104" s="6"/>
    </row>
  </sheetData>
  <sheetProtection formatCells="0" formatColumns="0" formatRows="0" insertColumns="0" insertRows="0" insertHyperlinks="0" deleteColumns="0" deleteRows="0" sort="0" autoFilter="0" pivotTables="0"/>
  <sortState ref="A2:T103">
    <sortCondition ref="A2:A103"/>
    <sortCondition ref="B2:B103"/>
    <sortCondition ref="C2:C103"/>
  </sortState>
  <pageMargins left="0.7" right="0.7" top="0.75" bottom="0.75" header="0.3" footer="0.3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Analysis</vt:lpstr>
      <vt:lpstr>Team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Mykel</dc:creator>
  <cp:lastModifiedBy>Mykel</cp:lastModifiedBy>
  <cp:lastPrinted>2014-11-07T10:01:35Z</cp:lastPrinted>
  <dcterms:created xsi:type="dcterms:W3CDTF">2014-10-30T09:57:19Z</dcterms:created>
  <dcterms:modified xsi:type="dcterms:W3CDTF">2014-11-07T23:47:46Z</dcterms:modified>
</cp:coreProperties>
</file>